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ate1904="1" defaultThemeVersion="124226"/>
  <bookViews>
    <workbookView xWindow="510" yWindow="150" windowWidth="5130" windowHeight="8970" tabRatio="891"/>
  </bookViews>
  <sheets>
    <sheet name="ALL FUNDS" sheetId="21" r:id="rId1"/>
    <sheet name="HIGHLIGHTS" sheetId="4" r:id="rId2"/>
    <sheet name="ENROLLMENT" sheetId="9" r:id="rId3"/>
    <sheet name="FTE COMP" sheetId="11" r:id="rId4"/>
    <sheet name="SOURCE-USE" sheetId="19" r:id="rId5"/>
    <sheet name="REV COMP" sheetId="3" r:id="rId6"/>
    <sheet name="EXP COMP" sheetId="2" r:id="rId7"/>
    <sheet name="EXP &amp; REV SUM" sheetId="7" r:id="rId8"/>
    <sheet name="Sheet14" sheetId="14" r:id="rId9"/>
    <sheet name="Sheet15" sheetId="15" r:id="rId10"/>
    <sheet name="Sheet16" sheetId="16" r:id="rId11"/>
  </sheets>
  <definedNames>
    <definedName name="_xlnm.Print_Area" localSheetId="2">ENROLLMENT!$A$3:$J$44</definedName>
    <definedName name="_xlnm.Print_Area" localSheetId="7">'EXP &amp; REV SUM'!$A$1:$G$75</definedName>
    <definedName name="_xlnm.Print_Area" localSheetId="6">'EXP COMP'!$A$1:$L$113</definedName>
    <definedName name="_xlnm.Print_Area" localSheetId="3">'FTE COMP'!$A$1:$E$47</definedName>
    <definedName name="_xlnm.Print_Area" localSheetId="1">HIGHLIGHTS!$A$2:$G$48</definedName>
    <definedName name="_xlnm.Print_Area" localSheetId="5">'REV COMP'!$A$1:$J$68</definedName>
    <definedName name="_xlnm.Print_Area" localSheetId="4">'SOURCE-USE'!$A$1:$H$52</definedName>
    <definedName name="_xlnm.Print_Titles" localSheetId="6">'EXP COMP'!$1:$2</definedName>
    <definedName name="_xlnm.Print_Titles" localSheetId="5">'REV COMP'!$1:$3</definedName>
    <definedName name="_xlnm.Print_Titles" localSheetId="4">'SOURCE-USE'!$108:$110</definedName>
    <definedName name="Z_1743B73C_DC30_4A18_8C09_04D85A5C0D60_.wvu.PrintArea" localSheetId="1" hidden="1">HIGHLIGHTS!$A$1:$I$95</definedName>
    <definedName name="Z_1743B73C_DC30_4A18_8C09_04D85A5C0D60_.wvu.PrintTitles" localSheetId="6" hidden="1">'EXP COMP'!$1:$2</definedName>
  </definedNames>
  <calcPr calcId="145621"/>
  <customWorkbookViews>
    <customWorkbookView name="Stacy Brown - Personal View" guid="{1743B73C-DC30-4A18-8C09-04D85A5C0D60}" mergeInterval="0" personalView="1" xWindow="10" yWindow="29" windowWidth="1145" windowHeight="786" activeSheetId="4"/>
  </customWorkbookViews>
</workbook>
</file>

<file path=xl/calcChain.xml><?xml version="1.0" encoding="utf-8"?>
<calcChain xmlns="http://schemas.openxmlformats.org/spreadsheetml/2006/main">
  <c r="B4" i="21" l="1"/>
  <c r="G30" i="4"/>
  <c r="E50" i="7"/>
  <c r="F50" i="7" s="1"/>
  <c r="D58" i="7"/>
  <c r="D54" i="7"/>
  <c r="D44" i="7"/>
  <c r="E41" i="7"/>
  <c r="H5" i="2"/>
  <c r="H29" i="2"/>
  <c r="H70" i="2"/>
  <c r="H60" i="2"/>
  <c r="H30" i="2"/>
  <c r="H28" i="2"/>
  <c r="H27" i="2"/>
  <c r="H20" i="2"/>
  <c r="H21" i="2"/>
  <c r="H19" i="2"/>
  <c r="H18" i="2"/>
  <c r="H17" i="2"/>
  <c r="H11" i="2"/>
  <c r="H10" i="2"/>
  <c r="H9" i="2"/>
  <c r="H7" i="2"/>
  <c r="G19" i="3"/>
  <c r="G41" i="3"/>
  <c r="F115" i="19"/>
  <c r="D23" i="19"/>
  <c r="F131" i="19"/>
  <c r="F79" i="19"/>
  <c r="C33" i="11"/>
  <c r="C25" i="11" l="1"/>
  <c r="G48" i="4" l="1"/>
  <c r="G47" i="4"/>
  <c r="C38" i="11"/>
  <c r="C32" i="11"/>
  <c r="C8" i="11"/>
  <c r="G38" i="4"/>
  <c r="F104" i="19" l="1"/>
  <c r="F97" i="19" l="1"/>
  <c r="F90" i="19"/>
  <c r="F62" i="19"/>
  <c r="F76" i="19"/>
  <c r="F70" i="19"/>
  <c r="F60" i="19"/>
  <c r="C26" i="11"/>
  <c r="C9" i="11"/>
  <c r="E32" i="2" l="1"/>
  <c r="E31" i="2"/>
  <c r="E30" i="2"/>
  <c r="E29" i="2"/>
  <c r="E28" i="2"/>
  <c r="E27" i="2"/>
  <c r="E22" i="2"/>
  <c r="E21" i="2"/>
  <c r="E20" i="2"/>
  <c r="E19" i="2"/>
  <c r="E18" i="2"/>
  <c r="E17" i="2"/>
  <c r="E12" i="2"/>
  <c r="E11" i="2"/>
  <c r="E10" i="2"/>
  <c r="E9" i="2"/>
  <c r="E7" i="2"/>
  <c r="E5" i="2"/>
  <c r="D104" i="19"/>
  <c r="D101" i="19"/>
  <c r="D90" i="19"/>
  <c r="D79" i="19"/>
  <c r="D70" i="19"/>
  <c r="D62" i="19"/>
  <c r="D61" i="19"/>
  <c r="D60" i="19"/>
  <c r="I37" i="9" l="1"/>
  <c r="I35" i="9"/>
  <c r="B33" i="11"/>
  <c r="B32" i="11"/>
  <c r="B26" i="11"/>
  <c r="B25" i="11"/>
  <c r="B9" i="11"/>
  <c r="B8" i="11"/>
  <c r="B18" i="11" l="1"/>
  <c r="J12" i="2" l="1"/>
  <c r="K12" i="2" s="1"/>
  <c r="H40" i="2" l="1"/>
  <c r="H38" i="2"/>
  <c r="J35" i="9" l="1"/>
  <c r="J39" i="9" s="1"/>
  <c r="C59" i="7" l="1"/>
  <c r="C21" i="7"/>
  <c r="F37" i="9"/>
  <c r="E37" i="9"/>
  <c r="H35" i="9"/>
  <c r="H39" i="9" s="1"/>
  <c r="G35" i="9"/>
  <c r="G39" i="9" s="1"/>
  <c r="F35" i="9"/>
  <c r="F39" i="9" s="1"/>
  <c r="E35" i="9"/>
  <c r="E39" i="9" s="1"/>
  <c r="D35" i="9"/>
  <c r="D39" i="9" s="1"/>
  <c r="F19" i="19" l="1"/>
  <c r="D14" i="19" l="1"/>
  <c r="F101" i="19"/>
  <c r="G77" i="19"/>
  <c r="G63" i="19"/>
  <c r="G64" i="19"/>
  <c r="F61" i="19"/>
  <c r="G62" i="19" l="1"/>
  <c r="D27" i="19"/>
  <c r="H46" i="2"/>
  <c r="I27" i="2" l="1"/>
  <c r="C9" i="7"/>
  <c r="F44" i="3"/>
  <c r="F38" i="3"/>
  <c r="F26" i="3"/>
  <c r="F13" i="3"/>
  <c r="F47" i="3" l="1"/>
  <c r="I18" i="2"/>
  <c r="I17" i="2"/>
  <c r="F82" i="2" l="1"/>
  <c r="F73" i="2"/>
  <c r="F64" i="2"/>
  <c r="F34" i="2"/>
  <c r="F14" i="2" l="1"/>
  <c r="F24" i="2"/>
  <c r="F86" i="2" s="1"/>
  <c r="E82" i="2" l="1"/>
  <c r="E73" i="2"/>
  <c r="E64" i="2"/>
  <c r="E34" i="2"/>
  <c r="E24" i="2"/>
  <c r="E14" i="2"/>
  <c r="H14" i="2"/>
  <c r="H24" i="2"/>
  <c r="H34" i="2"/>
  <c r="H36" i="2"/>
  <c r="H42" i="2"/>
  <c r="H44" i="2"/>
  <c r="H48" i="2"/>
  <c r="H50" i="2"/>
  <c r="H52" i="2"/>
  <c r="H54" i="2"/>
  <c r="H64" i="2"/>
  <c r="H73" i="2"/>
  <c r="H82" i="2"/>
  <c r="H84" i="2"/>
  <c r="E86" i="2" l="1"/>
  <c r="H86" i="2"/>
  <c r="I39" i="9"/>
  <c r="D11" i="11"/>
  <c r="D15" i="11" l="1"/>
  <c r="J22" i="11"/>
  <c r="F23" i="19" l="1"/>
  <c r="H72" i="19"/>
  <c r="D106" i="19" l="1"/>
  <c r="E40" i="7"/>
  <c r="F40" i="7" s="1"/>
  <c r="E39" i="7"/>
  <c r="F39" i="7" s="1"/>
  <c r="E29" i="7"/>
  <c r="F29" i="7" s="1"/>
  <c r="G42" i="3"/>
  <c r="H42" i="3" s="1"/>
  <c r="I42" i="3" s="1"/>
  <c r="G113" i="19"/>
  <c r="B37" i="9"/>
  <c r="C35" i="9"/>
  <c r="C39" i="9" s="1"/>
  <c r="B35" i="9"/>
  <c r="B40" i="11"/>
  <c r="F15" i="19"/>
  <c r="F14" i="19"/>
  <c r="D7" i="19"/>
  <c r="F7" i="19"/>
  <c r="G7" i="3"/>
  <c r="I107" i="19"/>
  <c r="D19" i="19"/>
  <c r="I91" i="19"/>
  <c r="I87" i="19"/>
  <c r="I90" i="19"/>
  <c r="I88" i="19"/>
  <c r="B39" i="9" l="1"/>
  <c r="D28" i="19"/>
  <c r="D32" i="19"/>
  <c r="D108" i="19" l="1"/>
  <c r="D152" i="19"/>
  <c r="D154" i="19" s="1"/>
  <c r="F10" i="21" l="1"/>
  <c r="E10" i="21"/>
  <c r="D10" i="21"/>
  <c r="C10" i="21"/>
  <c r="I5" i="2" l="1"/>
  <c r="I67" i="2"/>
  <c r="I57" i="2"/>
  <c r="I54" i="2"/>
  <c r="I48" i="2"/>
  <c r="I42" i="2"/>
  <c r="I38" i="2"/>
  <c r="I28" i="2"/>
  <c r="I77" i="2"/>
  <c r="I58" i="2" l="1"/>
  <c r="I7" i="2"/>
  <c r="G43" i="3"/>
  <c r="H43" i="3" s="1"/>
  <c r="G37" i="3"/>
  <c r="H37" i="3" s="1"/>
  <c r="G36" i="3"/>
  <c r="H36" i="3" s="1"/>
  <c r="G35" i="3"/>
  <c r="H35" i="3" s="1"/>
  <c r="G34" i="3"/>
  <c r="H34" i="3" s="1"/>
  <c r="G33" i="3"/>
  <c r="G32" i="3"/>
  <c r="H32" i="3" s="1"/>
  <c r="G29" i="3"/>
  <c r="G25" i="3"/>
  <c r="H25" i="3" s="1"/>
  <c r="G24" i="3"/>
  <c r="H24" i="3" s="1"/>
  <c r="G23" i="3"/>
  <c r="H23" i="3" s="1"/>
  <c r="G22" i="3"/>
  <c r="H22" i="3" s="1"/>
  <c r="G21" i="3"/>
  <c r="G20" i="3"/>
  <c r="H19" i="3"/>
  <c r="G18" i="3"/>
  <c r="H18" i="3" s="1"/>
  <c r="I18" i="3" s="1"/>
  <c r="G17" i="3"/>
  <c r="G16" i="3"/>
  <c r="D5" i="7" s="1"/>
  <c r="G5" i="3"/>
  <c r="G12" i="3"/>
  <c r="G11" i="3"/>
  <c r="H11" i="3" s="1"/>
  <c r="G10" i="3"/>
  <c r="H10" i="3" s="1"/>
  <c r="G9" i="3"/>
  <c r="H9" i="3" s="1"/>
  <c r="G8" i="3"/>
  <c r="G30" i="3"/>
  <c r="G31" i="3"/>
  <c r="D38" i="19"/>
  <c r="H20" i="3" l="1"/>
  <c r="D6" i="7"/>
  <c r="G6" i="3"/>
  <c r="H17" i="3"/>
  <c r="H7" i="3"/>
  <c r="H8" i="3"/>
  <c r="H12" i="3"/>
  <c r="H21" i="3"/>
  <c r="H33" i="3"/>
  <c r="H30" i="3"/>
  <c r="H31" i="3"/>
  <c r="H6" i="3" l="1"/>
  <c r="D4" i="7"/>
  <c r="G36" i="4"/>
  <c r="G23" i="4"/>
  <c r="E25" i="7"/>
  <c r="G78" i="2"/>
  <c r="J78" i="2"/>
  <c r="K78" i="2" s="1"/>
  <c r="D27" i="11" l="1"/>
  <c r="D28" i="11"/>
  <c r="D29" i="11"/>
  <c r="D30" i="11"/>
  <c r="D31" i="11"/>
  <c r="D34" i="11"/>
  <c r="D35" i="11"/>
  <c r="D37" i="11"/>
  <c r="D38" i="11"/>
  <c r="D10" i="11"/>
  <c r="D13" i="11"/>
  <c r="D14" i="11"/>
  <c r="D16" i="11"/>
  <c r="D8" i="11"/>
  <c r="D32" i="11"/>
  <c r="D25" i="11"/>
  <c r="D33" i="11"/>
  <c r="D36" i="11"/>
  <c r="D26" i="11"/>
  <c r="D12" i="11"/>
  <c r="C18" i="11" l="1"/>
  <c r="I90" i="2" s="1"/>
  <c r="C40" i="11"/>
  <c r="I91" i="2" s="1"/>
  <c r="D9" i="11"/>
  <c r="F28" i="19"/>
  <c r="D35" i="19"/>
  <c r="G35" i="19" s="1"/>
  <c r="D8" i="19"/>
  <c r="G153" i="19"/>
  <c r="G149" i="19"/>
  <c r="G147" i="19"/>
  <c r="G145" i="19"/>
  <c r="G143" i="19"/>
  <c r="G141" i="19"/>
  <c r="G139" i="19"/>
  <c r="G137" i="19"/>
  <c r="G135" i="19"/>
  <c r="G133" i="19"/>
  <c r="G131" i="19"/>
  <c r="G129" i="19"/>
  <c r="G127" i="19"/>
  <c r="G125" i="19"/>
  <c r="G123" i="19"/>
  <c r="G119" i="19"/>
  <c r="G117" i="19"/>
  <c r="G115" i="19"/>
  <c r="G111" i="19"/>
  <c r="G59" i="19"/>
  <c r="G65" i="19"/>
  <c r="G66" i="19"/>
  <c r="G67" i="19"/>
  <c r="G68" i="19"/>
  <c r="G69" i="19"/>
  <c r="G70" i="19"/>
  <c r="G71" i="19"/>
  <c r="G73" i="19"/>
  <c r="G74" i="19"/>
  <c r="G75" i="19"/>
  <c r="G76" i="19"/>
  <c r="G78" i="19"/>
  <c r="G80" i="19"/>
  <c r="G81" i="19"/>
  <c r="G82" i="19"/>
  <c r="G84" i="19"/>
  <c r="G85" i="19"/>
  <c r="G86" i="19"/>
  <c r="G89" i="19"/>
  <c r="G91" i="19"/>
  <c r="G92" i="19"/>
  <c r="G95" i="19"/>
  <c r="G96" i="19"/>
  <c r="G97" i="19"/>
  <c r="G98" i="19"/>
  <c r="G99" i="19"/>
  <c r="G100" i="19"/>
  <c r="G102" i="19"/>
  <c r="G103" i="19"/>
  <c r="G104" i="19"/>
  <c r="G105" i="19"/>
  <c r="G58" i="19"/>
  <c r="G88" i="19"/>
  <c r="G87" i="19"/>
  <c r="G61" i="19"/>
  <c r="G60" i="19"/>
  <c r="G10" i="19"/>
  <c r="D16" i="19"/>
  <c r="F16" i="19"/>
  <c r="D17" i="19"/>
  <c r="D18" i="19"/>
  <c r="D20" i="19"/>
  <c r="D21" i="19"/>
  <c r="D24" i="19"/>
  <c r="G24" i="19" s="1"/>
  <c r="D25" i="19"/>
  <c r="G25" i="19" s="1"/>
  <c r="D26" i="19"/>
  <c r="G26" i="19" s="1"/>
  <c r="D39" i="19"/>
  <c r="G39" i="19" s="1"/>
  <c r="D40" i="19"/>
  <c r="G40" i="19" s="1"/>
  <c r="D41" i="19"/>
  <c r="G41" i="19" s="1"/>
  <c r="D42" i="19"/>
  <c r="G42" i="19" s="1"/>
  <c r="D44" i="19"/>
  <c r="G44" i="19" s="1"/>
  <c r="H59" i="19"/>
  <c r="H71" i="19"/>
  <c r="G72" i="19"/>
  <c r="H75" i="19"/>
  <c r="H83" i="19"/>
  <c r="D15" i="19"/>
  <c r="D22" i="19"/>
  <c r="G94" i="19"/>
  <c r="H98" i="19"/>
  <c r="D43" i="19"/>
  <c r="G43" i="19" s="1"/>
  <c r="H103" i="19"/>
  <c r="F106" i="19"/>
  <c r="G106" i="19" s="1"/>
  <c r="F18" i="19"/>
  <c r="F22" i="19"/>
  <c r="F17" i="19"/>
  <c r="F20" i="19"/>
  <c r="F38" i="19"/>
  <c r="F21" i="19"/>
  <c r="F32" i="19"/>
  <c r="G32" i="19" s="1"/>
  <c r="F33" i="19"/>
  <c r="F27" i="19"/>
  <c r="E5" i="7"/>
  <c r="F5" i="7" s="1"/>
  <c r="I30" i="3"/>
  <c r="H29" i="3"/>
  <c r="I29" i="3" s="1"/>
  <c r="I17" i="3"/>
  <c r="E21" i="3"/>
  <c r="E26" i="3" s="1"/>
  <c r="E5" i="3"/>
  <c r="E12" i="3"/>
  <c r="E13" i="3" s="1"/>
  <c r="E41" i="3"/>
  <c r="E44" i="3" s="1"/>
  <c r="E30" i="3"/>
  <c r="E38" i="3" s="1"/>
  <c r="D3" i="7"/>
  <c r="H5" i="3"/>
  <c r="I5" i="3" s="1"/>
  <c r="G13" i="3"/>
  <c r="H13" i="3" s="1"/>
  <c r="I13" i="3" s="1"/>
  <c r="G38" i="3"/>
  <c r="H38" i="3" s="1"/>
  <c r="I38" i="3" s="1"/>
  <c r="G26" i="3"/>
  <c r="H26" i="3" s="1"/>
  <c r="I26" i="3" s="1"/>
  <c r="G44" i="3"/>
  <c r="J73" i="2"/>
  <c r="K73" i="2" s="1"/>
  <c r="J44" i="2"/>
  <c r="K44" i="2" s="1"/>
  <c r="G84" i="2"/>
  <c r="G76" i="2"/>
  <c r="G77" i="2"/>
  <c r="G79" i="2"/>
  <c r="G80" i="2"/>
  <c r="G81" i="2"/>
  <c r="C73" i="2"/>
  <c r="G73" i="2" s="1"/>
  <c r="C60" i="2"/>
  <c r="C64" i="2" s="1"/>
  <c r="G64" i="2" s="1"/>
  <c r="G54" i="2"/>
  <c r="G52" i="2"/>
  <c r="G50" i="2"/>
  <c r="G48" i="2"/>
  <c r="G46" i="2"/>
  <c r="G42" i="2"/>
  <c r="C40" i="2"/>
  <c r="G40" i="2" s="1"/>
  <c r="G38" i="2"/>
  <c r="G36" i="2"/>
  <c r="C34" i="2"/>
  <c r="G34" i="2" s="1"/>
  <c r="C24" i="2"/>
  <c r="G24" i="2" s="1"/>
  <c r="C5" i="2"/>
  <c r="C14" i="2" s="1"/>
  <c r="G14" i="2" s="1"/>
  <c r="C7" i="2"/>
  <c r="E26" i="7"/>
  <c r="F26" i="7" s="1"/>
  <c r="E27" i="7"/>
  <c r="F27" i="7" s="1"/>
  <c r="E28" i="7"/>
  <c r="F28" i="7" s="1"/>
  <c r="E30" i="7"/>
  <c r="F30" i="7" s="1"/>
  <c r="E31" i="7"/>
  <c r="F31" i="7" s="1"/>
  <c r="E32" i="7"/>
  <c r="F32" i="7" s="1"/>
  <c r="E33" i="7"/>
  <c r="F33" i="7" s="1"/>
  <c r="E34" i="7"/>
  <c r="F34" i="7" s="1"/>
  <c r="E35" i="7"/>
  <c r="F35" i="7" s="1"/>
  <c r="E36" i="7"/>
  <c r="F36" i="7" s="1"/>
  <c r="E37" i="7"/>
  <c r="F37" i="7" s="1"/>
  <c r="E38" i="7"/>
  <c r="F38" i="7" s="1"/>
  <c r="E42" i="7"/>
  <c r="F42" i="7" s="1"/>
  <c r="E43" i="7"/>
  <c r="E44" i="7"/>
  <c r="F44" i="7" s="1"/>
  <c r="E45" i="7"/>
  <c r="F45" i="7" s="1"/>
  <c r="E46" i="7"/>
  <c r="F46" i="7" s="1"/>
  <c r="E47" i="7"/>
  <c r="F47" i="7" s="1"/>
  <c r="E48" i="7"/>
  <c r="F48" i="7" s="1"/>
  <c r="E49" i="7"/>
  <c r="F49" i="7" s="1"/>
  <c r="E51" i="7"/>
  <c r="F51" i="7" s="1"/>
  <c r="E52" i="7"/>
  <c r="F52" i="7" s="1"/>
  <c r="E53" i="7"/>
  <c r="F53" i="7" s="1"/>
  <c r="E54" i="7"/>
  <c r="F54" i="7" s="1"/>
  <c r="E55" i="7"/>
  <c r="F55" i="7" s="1"/>
  <c r="E56" i="7"/>
  <c r="F56" i="7" s="1"/>
  <c r="E57" i="7"/>
  <c r="F57" i="7" s="1"/>
  <c r="E58" i="7"/>
  <c r="F58" i="7" s="1"/>
  <c r="F25" i="7"/>
  <c r="E14" i="7"/>
  <c r="F14" i="7" s="1"/>
  <c r="E15" i="7"/>
  <c r="F15" i="7" s="1"/>
  <c r="E16" i="7"/>
  <c r="F16" i="7" s="1"/>
  <c r="E17" i="7"/>
  <c r="F17" i="7" s="1"/>
  <c r="E18" i="7"/>
  <c r="F18" i="7" s="1"/>
  <c r="E19" i="7"/>
  <c r="F19" i="7" s="1"/>
  <c r="E13" i="7"/>
  <c r="F13" i="7" s="1"/>
  <c r="I14" i="2"/>
  <c r="I24" i="2"/>
  <c r="I34" i="2"/>
  <c r="I64" i="2"/>
  <c r="I73" i="2"/>
  <c r="I82" i="2"/>
  <c r="I43" i="3"/>
  <c r="H41" i="3"/>
  <c r="I41" i="3" s="1"/>
  <c r="I37" i="3"/>
  <c r="I36" i="3"/>
  <c r="I35" i="3"/>
  <c r="I34" i="3"/>
  <c r="I33" i="3"/>
  <c r="I32" i="3"/>
  <c r="I31" i="3"/>
  <c r="I25" i="3"/>
  <c r="I24" i="3"/>
  <c r="I23" i="3"/>
  <c r="I22" i="3"/>
  <c r="I21" i="3"/>
  <c r="I20" i="3"/>
  <c r="I19" i="3"/>
  <c r="H16" i="3"/>
  <c r="I16" i="3" s="1"/>
  <c r="I6" i="3"/>
  <c r="I7" i="3"/>
  <c r="I8" i="3"/>
  <c r="I9" i="3"/>
  <c r="I10" i="3"/>
  <c r="I11" i="3"/>
  <c r="I12" i="3"/>
  <c r="J52" i="2"/>
  <c r="K52" i="2" s="1"/>
  <c r="J24" i="2"/>
  <c r="K24" i="2" s="1"/>
  <c r="J34" i="2"/>
  <c r="J38" i="2"/>
  <c r="K38" i="2" s="1"/>
  <c r="J40" i="2"/>
  <c r="K40" i="2" s="1"/>
  <c r="J42" i="2"/>
  <c r="K42" i="2" s="1"/>
  <c r="J46" i="2"/>
  <c r="K46" i="2" s="1"/>
  <c r="J48" i="2"/>
  <c r="K48" i="2" s="1"/>
  <c r="J50" i="2"/>
  <c r="K50" i="2" s="1"/>
  <c r="J54" i="2"/>
  <c r="K54" i="2" s="1"/>
  <c r="J64" i="2"/>
  <c r="K64" i="2" s="1"/>
  <c r="J82" i="2"/>
  <c r="K82" i="2" s="1"/>
  <c r="J84" i="2"/>
  <c r="K84" i="2" s="1"/>
  <c r="J36" i="2"/>
  <c r="K36" i="2" s="1"/>
  <c r="J81" i="2"/>
  <c r="K81" i="2" s="1"/>
  <c r="J80" i="2"/>
  <c r="K80" i="2" s="1"/>
  <c r="J79" i="2"/>
  <c r="K79" i="2" s="1"/>
  <c r="J77" i="2"/>
  <c r="K77" i="2" s="1"/>
  <c r="J76" i="2"/>
  <c r="K76" i="2" s="1"/>
  <c r="J71" i="2"/>
  <c r="J70" i="2"/>
  <c r="K70" i="2" s="1"/>
  <c r="J69" i="2"/>
  <c r="J68" i="2"/>
  <c r="K68" i="2" s="1"/>
  <c r="J67" i="2"/>
  <c r="K67" i="2" s="1"/>
  <c r="J63" i="2"/>
  <c r="K63" i="2" s="1"/>
  <c r="J62" i="2"/>
  <c r="K62" i="2" s="1"/>
  <c r="J61" i="2"/>
  <c r="K61" i="2" s="1"/>
  <c r="J60" i="2"/>
  <c r="K60" i="2" s="1"/>
  <c r="J59" i="2"/>
  <c r="K59" i="2" s="1"/>
  <c r="J58" i="2"/>
  <c r="K58" i="2" s="1"/>
  <c r="J57" i="2"/>
  <c r="K57" i="2" s="1"/>
  <c r="J32" i="2"/>
  <c r="K32" i="2" s="1"/>
  <c r="J31" i="2"/>
  <c r="K31" i="2" s="1"/>
  <c r="J30" i="2"/>
  <c r="K30" i="2" s="1"/>
  <c r="J29" i="2"/>
  <c r="K29" i="2" s="1"/>
  <c r="J28" i="2"/>
  <c r="K28" i="2" s="1"/>
  <c r="J27" i="2"/>
  <c r="K27" i="2" s="1"/>
  <c r="J22" i="2"/>
  <c r="K22" i="2" s="1"/>
  <c r="J21" i="2"/>
  <c r="K21" i="2" s="1"/>
  <c r="J20" i="2"/>
  <c r="K20" i="2" s="1"/>
  <c r="J19" i="2"/>
  <c r="K19" i="2" s="1"/>
  <c r="J18" i="2"/>
  <c r="K18" i="2" s="1"/>
  <c r="J17" i="2"/>
  <c r="K17" i="2" s="1"/>
  <c r="J6" i="2"/>
  <c r="K6" i="2" s="1"/>
  <c r="J7" i="2"/>
  <c r="K7" i="2" s="1"/>
  <c r="J8" i="2"/>
  <c r="K8" i="2" s="1"/>
  <c r="J9" i="2"/>
  <c r="K9" i="2" s="1"/>
  <c r="J10" i="2"/>
  <c r="K10" i="2" s="1"/>
  <c r="J11" i="2"/>
  <c r="K11" i="2" s="1"/>
  <c r="J13" i="2"/>
  <c r="K13" i="2" s="1"/>
  <c r="J4" i="2"/>
  <c r="K4" i="2" s="1"/>
  <c r="J72" i="2"/>
  <c r="J33" i="2"/>
  <c r="J23" i="2"/>
  <c r="C82" i="2"/>
  <c r="D91" i="2"/>
  <c r="D90" i="2"/>
  <c r="D82" i="2"/>
  <c r="D73" i="2"/>
  <c r="D64" i="2"/>
  <c r="D34" i="2"/>
  <c r="D24" i="2"/>
  <c r="D5" i="2"/>
  <c r="D14" i="2" s="1"/>
  <c r="D59" i="7"/>
  <c r="G72" i="2"/>
  <c r="G71" i="2"/>
  <c r="G70" i="2"/>
  <c r="G69" i="2"/>
  <c r="G68" i="2"/>
  <c r="G67" i="2"/>
  <c r="G63" i="2"/>
  <c r="G62" i="2"/>
  <c r="G61" i="2"/>
  <c r="G59" i="2"/>
  <c r="G58" i="2"/>
  <c r="G57" i="2"/>
  <c r="G33" i="2"/>
  <c r="G32" i="2"/>
  <c r="G31" i="2"/>
  <c r="G30" i="2"/>
  <c r="G29" i="2"/>
  <c r="G28" i="2"/>
  <c r="G27" i="2"/>
  <c r="G23" i="2"/>
  <c r="G22" i="2"/>
  <c r="G21" i="2"/>
  <c r="G20" i="2"/>
  <c r="G19" i="2"/>
  <c r="G18" i="2"/>
  <c r="G17" i="2"/>
  <c r="G13" i="2"/>
  <c r="G11" i="2"/>
  <c r="G10" i="2"/>
  <c r="G9" i="2"/>
  <c r="G8" i="2"/>
  <c r="G7" i="2"/>
  <c r="G6" i="2"/>
  <c r="G4" i="2"/>
  <c r="G60" i="2" l="1"/>
  <c r="G47" i="3"/>
  <c r="I47" i="3" s="1"/>
  <c r="D8" i="7"/>
  <c r="E8" i="7" s="1"/>
  <c r="F8" i="7" s="1"/>
  <c r="G5" i="2"/>
  <c r="G28" i="19"/>
  <c r="D20" i="7"/>
  <c r="I86" i="2"/>
  <c r="K34" i="2"/>
  <c r="D86" i="2"/>
  <c r="C86" i="2"/>
  <c r="D18" i="11"/>
  <c r="G43" i="4" s="1"/>
  <c r="E59" i="7"/>
  <c r="F59" i="7" s="1"/>
  <c r="G82" i="2"/>
  <c r="G86" i="2" s="1"/>
  <c r="E47" i="3"/>
  <c r="D40" i="11"/>
  <c r="G44" i="4" s="1"/>
  <c r="G7" i="19"/>
  <c r="G11" i="19" s="1"/>
  <c r="I64" i="19"/>
  <c r="I106" i="19"/>
  <c r="H44" i="3"/>
  <c r="H47" i="3" s="1"/>
  <c r="D9" i="19"/>
  <c r="D11" i="19" s="1"/>
  <c r="F108" i="19"/>
  <c r="D7" i="7"/>
  <c r="E7" i="7" s="1"/>
  <c r="F7" i="7" s="1"/>
  <c r="G16" i="19"/>
  <c r="G27" i="19"/>
  <c r="G21" i="19"/>
  <c r="G20" i="19"/>
  <c r="G23" i="19"/>
  <c r="G17" i="19"/>
  <c r="G22" i="19"/>
  <c r="G18" i="19"/>
  <c r="G15" i="19"/>
  <c r="E4" i="7"/>
  <c r="F4" i="7" s="1"/>
  <c r="E6" i="7"/>
  <c r="F6" i="7" s="1"/>
  <c r="D33" i="19"/>
  <c r="G33" i="19" s="1"/>
  <c r="G79" i="19"/>
  <c r="G83" i="19"/>
  <c r="G90" i="19"/>
  <c r="G93" i="19"/>
  <c r="G152" i="19"/>
  <c r="F152" i="19"/>
  <c r="G101" i="19"/>
  <c r="G19" i="19"/>
  <c r="J5" i="2"/>
  <c r="K5" i="2" s="1"/>
  <c r="E3" i="7"/>
  <c r="F11" i="19"/>
  <c r="G14" i="19"/>
  <c r="G38" i="19"/>
  <c r="I44" i="3" l="1"/>
  <c r="F154" i="19"/>
  <c r="D160" i="19" s="1"/>
  <c r="E20" i="7"/>
  <c r="D21" i="7"/>
  <c r="D159" i="19"/>
  <c r="I111" i="19"/>
  <c r="D29" i="19"/>
  <c r="D46" i="19" s="1"/>
  <c r="F29" i="19"/>
  <c r="D9" i="7"/>
  <c r="H49" i="3"/>
  <c r="E9" i="7"/>
  <c r="F9" i="7" s="1"/>
  <c r="F3" i="7"/>
  <c r="J14" i="2"/>
  <c r="J86" i="2" s="1"/>
  <c r="G154" i="19" l="1"/>
  <c r="D161" i="19"/>
  <c r="D163" i="19" s="1"/>
  <c r="F20" i="7"/>
  <c r="E21" i="7"/>
  <c r="F21" i="7" s="1"/>
  <c r="G29" i="19"/>
  <c r="F46" i="19"/>
  <c r="D50" i="19" s="1"/>
  <c r="B8" i="21" s="1"/>
  <c r="K14" i="2"/>
  <c r="G46" i="19" l="1"/>
  <c r="G108" i="19"/>
  <c r="D49" i="19"/>
  <c r="B6" i="21" s="1"/>
  <c r="B10" i="21" s="1"/>
  <c r="K86" i="2"/>
  <c r="I88" i="2"/>
  <c r="D51" i="19" l="1"/>
  <c r="D52" i="19" s="1"/>
</calcChain>
</file>

<file path=xl/sharedStrings.xml><?xml version="1.0" encoding="utf-8"?>
<sst xmlns="http://schemas.openxmlformats.org/spreadsheetml/2006/main" count="593" uniqueCount="456">
  <si>
    <t>REVENUES</t>
  </si>
  <si>
    <t>VARIANCE</t>
  </si>
  <si>
    <t>BASIC EDUCATION</t>
  </si>
  <si>
    <t xml:space="preserve">  DB/CR TRANS</t>
  </si>
  <si>
    <t xml:space="preserve">  CERT SAL EXTRACURR</t>
  </si>
  <si>
    <t xml:space="preserve"> </t>
  </si>
  <si>
    <t xml:space="preserve">  CLASS SAL EXTRACURR</t>
  </si>
  <si>
    <t xml:space="preserve">  BENEFITS</t>
  </si>
  <si>
    <t xml:space="preserve">  SUPPLIES/MATERIALS</t>
  </si>
  <si>
    <t xml:space="preserve">  CONTRACTUAL SERVICES</t>
  </si>
  <si>
    <t xml:space="preserve">  TRAVEL</t>
  </si>
  <si>
    <t xml:space="preserve">  CAPITAL OUTLAY</t>
  </si>
  <si>
    <t>TOTAL BASIC EDUCATION</t>
  </si>
  <si>
    <t>SPECIAL EDUCATION</t>
  </si>
  <si>
    <t xml:space="preserve">  CONTRACTUAL</t>
  </si>
  <si>
    <t>TOTAL SPECIAL ED</t>
  </si>
  <si>
    <t>BILINGUAL EDUCATION</t>
  </si>
  <si>
    <t>LAP</t>
  </si>
  <si>
    <t>HIGHLY CAPABLE</t>
  </si>
  <si>
    <t>DISTRICT-WIDE SUPPORT</t>
  </si>
  <si>
    <t xml:space="preserve">  SUPPLIES</t>
  </si>
  <si>
    <t>TOTAL DISTRICT SUPPORT</t>
  </si>
  <si>
    <t>FOOD SERVICES</t>
  </si>
  <si>
    <t xml:space="preserve"> TOTAL FOOD SERVICES</t>
  </si>
  <si>
    <t>TRANSPORTATION</t>
  </si>
  <si>
    <t xml:space="preserve">  DB/CR TRANSFERS</t>
  </si>
  <si>
    <t>TOTAL TRANSPORTATION</t>
  </si>
  <si>
    <t>TOTAL EXPENDITURES</t>
  </si>
  <si>
    <t>LOCAL MONIES:</t>
  </si>
  <si>
    <t xml:space="preserve">  LOCAL PROPERTY TAX</t>
  </si>
  <si>
    <t xml:space="preserve">  MISC TUITION &amp; FEES</t>
  </si>
  <si>
    <t xml:space="preserve">  TITLE III - LEP</t>
  </si>
  <si>
    <t xml:space="preserve">  E-RATE</t>
  </si>
  <si>
    <t>CLASSIFIED FTE TOTAL</t>
  </si>
  <si>
    <t>CERTIFICATED FTE TOTAL</t>
  </si>
  <si>
    <t xml:space="preserve">  FOOD SERVICE FEES</t>
  </si>
  <si>
    <t xml:space="preserve">  INVESTMENT EARNINGS</t>
  </si>
  <si>
    <t xml:space="preserve">  FINES &amp; DAMAGES</t>
  </si>
  <si>
    <t xml:space="preserve">  MISC OTHER</t>
  </si>
  <si>
    <t>TOTAL LOCAL MONIES</t>
  </si>
  <si>
    <t>STATE MONIES:</t>
  </si>
  <si>
    <t xml:space="preserve">  APPORTIONMENT</t>
  </si>
  <si>
    <t xml:space="preserve">  LEVY EQUALIZATION</t>
  </si>
  <si>
    <t xml:space="preserve">  SPECIAL ED</t>
  </si>
  <si>
    <t xml:space="preserve">  LAP</t>
  </si>
  <si>
    <t xml:space="preserve">  BILINGUAL EDUCATION</t>
  </si>
  <si>
    <t xml:space="preserve">  HIGHLY CAPABLE</t>
  </si>
  <si>
    <t xml:space="preserve">  FOOD SERVICES</t>
  </si>
  <si>
    <t xml:space="preserve">  KWRL</t>
  </si>
  <si>
    <t>TOTAL STATE MONIES</t>
  </si>
  <si>
    <t>FEDERAL MONIES:</t>
  </si>
  <si>
    <t xml:space="preserve">  MISC FEDERAL GRANTS</t>
  </si>
  <si>
    <t xml:space="preserve">  VOC ED</t>
  </si>
  <si>
    <t xml:space="preserve">  USDA COMMODITIES</t>
  </si>
  <si>
    <t>TOTAL FEDERAL MONIES</t>
  </si>
  <si>
    <t xml:space="preserve">  NON-HIGH(GREEN MTN)</t>
  </si>
  <si>
    <t>TOTAL FROM OTHER DISTRICTS</t>
  </si>
  <si>
    <t>TOTAL DISTRICT REVENUE</t>
  </si>
  <si>
    <t xml:space="preserve">  GIFTS/DONATIONS</t>
  </si>
  <si>
    <t xml:space="preserve">  MISC STATE</t>
  </si>
  <si>
    <t>REV FROM OTH DISTRICTS/AGENCIES:</t>
  </si>
  <si>
    <t>FTE</t>
  </si>
  <si>
    <t>EXPEND</t>
  </si>
  <si>
    <t xml:space="preserve">  CERT SALARIES </t>
  </si>
  <si>
    <t xml:space="preserve">  CLASS SALARIES </t>
  </si>
  <si>
    <t xml:space="preserve">  CERT SALARIES</t>
  </si>
  <si>
    <t>TITLE III - LEP</t>
  </si>
  <si>
    <t>TITLE ONE</t>
  </si>
  <si>
    <t>05-06 BUDGT</t>
  </si>
  <si>
    <t>05-06</t>
  </si>
  <si>
    <t>EXPENDITURES</t>
  </si>
  <si>
    <t>LOCAL TAXES</t>
  </si>
  <si>
    <t>LOCAL, NON-TAX</t>
  </si>
  <si>
    <t>STATE, GENERAL PURPOSE</t>
  </si>
  <si>
    <t>STATE, SPECIAL PURPOSE</t>
  </si>
  <si>
    <t>FEDERAL, SPECIAL PURPOSE</t>
  </si>
  <si>
    <t>CERTIFICATED SALARIES</t>
  </si>
  <si>
    <t>CLASSIFIED SALARIES</t>
  </si>
  <si>
    <t>EMPLOYEE BENEFITS</t>
  </si>
  <si>
    <t>SUPPLIES &amp; MATERIALS</t>
  </si>
  <si>
    <t>CONTRACTUAL SERVICES</t>
  </si>
  <si>
    <t>TRAVEL</t>
  </si>
  <si>
    <t>CAPITAL OUTLAY</t>
  </si>
  <si>
    <t>TOTAL REVENUES</t>
  </si>
  <si>
    <t>REVENUE BY CATEGORY</t>
  </si>
  <si>
    <t>EXPENDITURE BY OBJECT</t>
  </si>
  <si>
    <t>EXPENDITURE BY ACTIVITY</t>
  </si>
  <si>
    <t>BOARD OF DIRECTORS</t>
  </si>
  <si>
    <t>SUPERINTENDENT'S OFFICE</t>
  </si>
  <si>
    <t>BUSINESS OFFICE</t>
  </si>
  <si>
    <t>HUMAN RESOURCES</t>
  </si>
  <si>
    <t>MEDIA/LEARNING RES</t>
  </si>
  <si>
    <t>PRINCIPAL'S OFFICE</t>
  </si>
  <si>
    <t>GUIDANCE - COUNSELING</t>
  </si>
  <si>
    <t>SAFETY</t>
  </si>
  <si>
    <t>HEALTH/PSYCH</t>
  </si>
  <si>
    <t>TEACHING</t>
  </si>
  <si>
    <t>EXTRACURRICULAR</t>
  </si>
  <si>
    <t>PTYMT TO OTHER DISTRICTS</t>
  </si>
  <si>
    <t>FOOD SERVICE - SUPERVISION</t>
  </si>
  <si>
    <t>FOOD SERVICE OPERATIONS</t>
  </si>
  <si>
    <t>KWRL ADMINISTRATION</t>
  </si>
  <si>
    <t>OPERATING BUSES</t>
  </si>
  <si>
    <t>MAINT OF SCHOOL BUSES</t>
  </si>
  <si>
    <t>TRANSPORTATION - INSURANCE</t>
  </si>
  <si>
    <t>TRANSPORTATION TRANSFER</t>
  </si>
  <si>
    <t>GROUNDS CARE/MAINT</t>
  </si>
  <si>
    <t>OPERATION OF PLANT</t>
  </si>
  <si>
    <t>MAINT OF PLANT</t>
  </si>
  <si>
    <t>UTILITIES/SECURITY/INSURANCE</t>
  </si>
  <si>
    <t>PRINTING</t>
  </si>
  <si>
    <t>MOTOR POOL</t>
  </si>
  <si>
    <t>06-07</t>
  </si>
  <si>
    <t>BUDGET</t>
  </si>
  <si>
    <t>GRADE</t>
  </si>
  <si>
    <t>Kindergarten</t>
  </si>
  <si>
    <t>1st</t>
  </si>
  <si>
    <t>2nd</t>
  </si>
  <si>
    <t>3rd</t>
  </si>
  <si>
    <t>4th</t>
  </si>
  <si>
    <t>5th</t>
  </si>
  <si>
    <t>6th</t>
  </si>
  <si>
    <t>7th</t>
  </si>
  <si>
    <t>8th</t>
  </si>
  <si>
    <t>9th</t>
  </si>
  <si>
    <t>10th</t>
  </si>
  <si>
    <t>11th</t>
  </si>
  <si>
    <t>12th</t>
  </si>
  <si>
    <t>Running Start</t>
  </si>
  <si>
    <t>Total</t>
  </si>
  <si>
    <t>Total w/RS</t>
  </si>
  <si>
    <t>MAY</t>
  </si>
  <si>
    <t>MISC GRANTS/PGMS</t>
  </si>
  <si>
    <t xml:space="preserve">  BEA ALLOC TO SPECIAL ED</t>
  </si>
  <si>
    <t>FOOD SERVICE - FOOD</t>
  </si>
  <si>
    <t>STAFF FTE</t>
  </si>
  <si>
    <t>% INC/</t>
  </si>
  <si>
    <t>DEC)</t>
  </si>
  <si>
    <t>05-06 BDGT</t>
  </si>
  <si>
    <t>1978 FTE</t>
  </si>
  <si>
    <t>MISC STATE PGMS</t>
  </si>
  <si>
    <t>07-08 ACTUAL</t>
  </si>
  <si>
    <t>08-09</t>
  </si>
  <si>
    <t>DOLLAR</t>
  </si>
  <si>
    <t>PERCENT</t>
  </si>
  <si>
    <t>PROPERTY TAX INCREASE</t>
  </si>
  <si>
    <t>REVENUE INCREASES/(DECREASES)</t>
  </si>
  <si>
    <t>EXPENDITURE INCREASES/(DECREASES)</t>
  </si>
  <si>
    <t>FURTHER INFORMATION ON LARGE DOLLAR OR PERCENTAGE EXPENDITURE CHANGES:</t>
  </si>
  <si>
    <t>INFORMATION SYSTEMS</t>
  </si>
  <si>
    <t>Levy/Misc</t>
  </si>
  <si>
    <t>Revenue Req'd</t>
  </si>
  <si>
    <t>to Fund Pgms</t>
  </si>
  <si>
    <t>DOLLARS</t>
  </si>
  <si>
    <t>Subtract Sped Appmt</t>
  </si>
  <si>
    <t>TOTAL APPORTIONMENT</t>
  </si>
  <si>
    <t>STATE/FEDERAL FUNDED PROGRAMS</t>
  </si>
  <si>
    <t>State Special Ed</t>
  </si>
  <si>
    <t>Federal Special Ed</t>
  </si>
  <si>
    <t>Fed'l Vocational Ed</t>
  </si>
  <si>
    <t>Learning Assistance</t>
  </si>
  <si>
    <t>Title 1</t>
  </si>
  <si>
    <t>Other State Grants</t>
  </si>
  <si>
    <t>Bilingual</t>
  </si>
  <si>
    <t>Highly Capable</t>
  </si>
  <si>
    <t>Title II</t>
  </si>
  <si>
    <t>Other Federal Programs</t>
  </si>
  <si>
    <t>State Forests</t>
  </si>
  <si>
    <t>Federal Forest</t>
  </si>
  <si>
    <t>E-Rate</t>
  </si>
  <si>
    <t>To/From Transp-KWRL</t>
  </si>
  <si>
    <t>Operating Transfers In/Out</t>
  </si>
  <si>
    <t>STATE/FED'L FUNDED PGMS</t>
  </si>
  <si>
    <t>PROGRAMS GENERATING LOCAL REVENUE</t>
  </si>
  <si>
    <t>Community Ed</t>
  </si>
  <si>
    <t>Food Services</t>
  </si>
  <si>
    <t>LEVY/LEVY EQUALIZATION</t>
  </si>
  <si>
    <t>MISC REVENUES</t>
  </si>
  <si>
    <t>Tuition/Gifts/Fines</t>
  </si>
  <si>
    <t>Inv Earnings</t>
  </si>
  <si>
    <t>Rentals</t>
  </si>
  <si>
    <t>Local Non-Tax</t>
  </si>
  <si>
    <t>Insurance Recoveries</t>
  </si>
  <si>
    <t>KRL Ft/Ext</t>
  </si>
  <si>
    <t>Non-High</t>
  </si>
  <si>
    <t>TOTALS</t>
  </si>
  <si>
    <t xml:space="preserve">   PROJ REVENUES</t>
  </si>
  <si>
    <r>
      <t xml:space="preserve">    </t>
    </r>
    <r>
      <rPr>
        <b/>
        <sz val="9"/>
        <rFont val="Geneva"/>
      </rPr>
      <t>PROJ EXPENDITURES</t>
    </r>
  </si>
  <si>
    <t>PROJ INC/(DEC) IN FB</t>
  </si>
  <si>
    <t>Revenues</t>
  </si>
  <si>
    <t>Difference</t>
  </si>
  <si>
    <t>Prop Taxes</t>
  </si>
  <si>
    <t>Timber Excise</t>
  </si>
  <si>
    <t>Tuitions/Fees</t>
  </si>
  <si>
    <t>Sale of Goods</t>
  </si>
  <si>
    <t>FS - Local</t>
  </si>
  <si>
    <t>Donations</t>
  </si>
  <si>
    <t>Fines/Damages</t>
  </si>
  <si>
    <t>Ins Recoveries</t>
  </si>
  <si>
    <t>Misc Local</t>
  </si>
  <si>
    <t>E-rate</t>
  </si>
  <si>
    <t>Apportionment</t>
  </si>
  <si>
    <t>Sped Appmt</t>
  </si>
  <si>
    <t>Local Eff Asst</t>
  </si>
  <si>
    <t>State Forest</t>
  </si>
  <si>
    <t>St Special Ed</t>
  </si>
  <si>
    <t>Misc State</t>
  </si>
  <si>
    <t>Hi Cap</t>
  </si>
  <si>
    <t>FS - State</t>
  </si>
  <si>
    <t>Transp Alloc</t>
  </si>
  <si>
    <t>Misc Fed'l</t>
  </si>
  <si>
    <t>Med Reimb</t>
  </si>
  <si>
    <t>Fed'l Sp Ed</t>
  </si>
  <si>
    <t>Fed'l Voc (CP)</t>
  </si>
  <si>
    <t>Title One</t>
  </si>
  <si>
    <t>Title II/V</t>
  </si>
  <si>
    <t>Title 3 - LEP</t>
  </si>
  <si>
    <t>FS - Fed'l</t>
  </si>
  <si>
    <t>Admin Match</t>
  </si>
  <si>
    <t>USDA Commod</t>
  </si>
  <si>
    <t>KWRL Unfund</t>
  </si>
  <si>
    <t>7199 Unfunded</t>
  </si>
  <si>
    <t>7199 Admin</t>
  </si>
  <si>
    <t>KWRL Ft/Ext</t>
  </si>
  <si>
    <t>7199 Ex/FT</t>
  </si>
  <si>
    <t>KWRL Misc</t>
  </si>
  <si>
    <t>Nonhigh Part</t>
  </si>
  <si>
    <t>Tfr from CPF</t>
  </si>
  <si>
    <t>Totals</t>
  </si>
  <si>
    <t>Basic Ed</t>
  </si>
  <si>
    <t>total 21</t>
  </si>
  <si>
    <t>TOTAL 24</t>
  </si>
  <si>
    <t>TOTAL 31</t>
  </si>
  <si>
    <t>Federal Vocational Ed</t>
  </si>
  <si>
    <t>TOTAL 38</t>
  </si>
  <si>
    <t>Federal Title One</t>
  </si>
  <si>
    <t>TOTAL 51</t>
  </si>
  <si>
    <t>Federal Title II/V</t>
  </si>
  <si>
    <t>TOTAL 52</t>
  </si>
  <si>
    <t>TOTAL 55</t>
  </si>
  <si>
    <t>Misc State Programs</t>
  </si>
  <si>
    <t>TOTAL 58</t>
  </si>
  <si>
    <t>Federal Title III-LEP</t>
  </si>
  <si>
    <t>TOTAL 64</t>
  </si>
  <si>
    <t>TOTAL 65</t>
  </si>
  <si>
    <t>Other Compensatory</t>
  </si>
  <si>
    <t>TOTAL 69</t>
  </si>
  <si>
    <t>TOTAL 74</t>
  </si>
  <si>
    <t>Misc Fed'l/Other Pgms</t>
  </si>
  <si>
    <t>TOTAL 79</t>
  </si>
  <si>
    <t>District-wide Support</t>
  </si>
  <si>
    <t>TOTAL 97</t>
  </si>
  <si>
    <t>TOTAL 98</t>
  </si>
  <si>
    <t>Transportation/KWRL</t>
  </si>
  <si>
    <t>TOTAL 99</t>
  </si>
  <si>
    <t>TOTAL BUDGET</t>
  </si>
  <si>
    <t>OP TFR</t>
  </si>
  <si>
    <t>TOTAL</t>
  </si>
  <si>
    <t>BEG FB</t>
  </si>
  <si>
    <t>ADD REV</t>
  </si>
  <si>
    <t>LESS EXP</t>
  </si>
  <si>
    <t>END FB</t>
  </si>
  <si>
    <t>FB DEC/INC</t>
  </si>
  <si>
    <t>BUDGETED</t>
  </si>
  <si>
    <t>FURTHER INFORMATION ON LARGE DOLLAR OR PERCENTAGE REVENUE CHANGES:</t>
  </si>
  <si>
    <t>FUNDING</t>
  </si>
  <si>
    <t>TOTAL BEA/CTE/DWS</t>
  </si>
  <si>
    <t>Apportionment/BEA/CTE/DWS</t>
  </si>
  <si>
    <t>Stim-Title One</t>
  </si>
  <si>
    <t>Stim-SFSF</t>
  </si>
  <si>
    <t>Stim-IDEA</t>
  </si>
  <si>
    <t>Stim-Title IID</t>
  </si>
  <si>
    <t>Total 01</t>
  </si>
  <si>
    <t>PROGRAM</t>
  </si>
  <si>
    <t>09-10</t>
  </si>
  <si>
    <t>SPECIAL ED</t>
  </si>
  <si>
    <t>STATE BILINGUAL</t>
  </si>
  <si>
    <t>DISTRICTWIDE SUPPORT</t>
  </si>
  <si>
    <t>TOTAL CERTIFICATED/ADMIN STAFF</t>
  </si>
  <si>
    <t>TECHNOLOGY</t>
  </si>
  <si>
    <t>GROUNDS/CUSTODIAL/MAINTENANCE</t>
  </si>
  <si>
    <t>SUPT OFFICE/BUSINESS/HR</t>
  </si>
  <si>
    <t>FOOD SERVICE</t>
  </si>
  <si>
    <t>TRANSPORTATION/ADMIN</t>
  </si>
  <si>
    <t>TRANSPORTATION/DRIVERS</t>
  </si>
  <si>
    <t>TRANSPORTATION/MECHANICS</t>
  </si>
  <si>
    <t>TOTAL CLASSIFIED STAFF</t>
  </si>
  <si>
    <t>DIFFERENCE</t>
  </si>
  <si>
    <t>OTHER INFORMATION</t>
  </si>
  <si>
    <t>STAFFING CHANGES - SEE FTE COMPARISON FOR DETAILS</t>
  </si>
  <si>
    <t>CLASSIFIED STAFF INCREASE</t>
  </si>
  <si>
    <t>% INC/(DEC)</t>
  </si>
  <si>
    <t>10-11</t>
  </si>
  <si>
    <t>CERT/ADMIN STAFFING</t>
  </si>
  <si>
    <t>General</t>
  </si>
  <si>
    <t>Capital</t>
  </si>
  <si>
    <t>Debt</t>
  </si>
  <si>
    <t>ASB Fund</t>
  </si>
  <si>
    <t>Transp</t>
  </si>
  <si>
    <t>Projects</t>
  </si>
  <si>
    <t>Service</t>
  </si>
  <si>
    <t>Vehicle</t>
  </si>
  <si>
    <t>BUDGETED REVENUES</t>
  </si>
  <si>
    <t>BUDGETED EXPENDITURES</t>
  </si>
  <si>
    <t xml:space="preserve">CLASSIFIED STAFFING </t>
  </si>
  <si>
    <t>Daycare</t>
  </si>
  <si>
    <t>Daycare/Facilities</t>
  </si>
  <si>
    <t>Alternative Ede</t>
  </si>
  <si>
    <t>Total 02</t>
  </si>
  <si>
    <t>WHS CTE</t>
  </si>
  <si>
    <t>WMS CTE</t>
  </si>
  <si>
    <t>TOTAL 34</t>
  </si>
  <si>
    <t>TOTAL 88</t>
  </si>
  <si>
    <t>Daycare/Facilites</t>
  </si>
  <si>
    <t>State/Local Special Ed</t>
  </si>
  <si>
    <t>11-12</t>
  </si>
  <si>
    <t>DAYCARE</t>
  </si>
  <si>
    <t xml:space="preserve">  FROM THE ESD</t>
  </si>
  <si>
    <t xml:space="preserve">  DAYCARE/FAC USE</t>
  </si>
  <si>
    <t>INSTRUCTIONAL PROF DEV</t>
  </si>
  <si>
    <t>INSTRUCTIONAL TECHNOLOGY</t>
  </si>
  <si>
    <t>TITLE ONE REGULAR ALLOCATION/PY CARRYOVER</t>
  </si>
  <si>
    <t>CERTIFICATED STAFF INCREASE</t>
  </si>
  <si>
    <t>ALTERNATIVE LEARNING PROGRAM PROFIT/LOSS</t>
  </si>
  <si>
    <t>CTE</t>
  </si>
  <si>
    <t>COMMUNICATIONS</t>
  </si>
  <si>
    <t>CAREER AND TECHNICAL EDUCATION (CTE)</t>
  </si>
  <si>
    <t>TOTAL CTE</t>
  </si>
  <si>
    <t>FEDERAL CTE</t>
  </si>
  <si>
    <t>12-13</t>
  </si>
  <si>
    <t>CTE - WHS</t>
  </si>
  <si>
    <t>CTE - WMS</t>
  </si>
  <si>
    <t>From Other Dist</t>
  </si>
  <si>
    <t>JUNE</t>
  </si>
  <si>
    <t>REVENUE FROM OTH DIST/ENT</t>
  </si>
  <si>
    <t>TRANSFER FOR BUS/DEBT</t>
  </si>
  <si>
    <t>CERTIFICATED</t>
  </si>
  <si>
    <t>CLASSIFIED</t>
  </si>
  <si>
    <t xml:space="preserve">  TITLE II - SCHOOL IMP</t>
  </si>
  <si>
    <t xml:space="preserve">  FEDERAL SPECIAL ED</t>
  </si>
  <si>
    <t xml:space="preserve">  TITLE ONE</t>
  </si>
  <si>
    <t>TRANSPORTATION ALLOCATION INCREASE</t>
  </si>
  <si>
    <t>BUS/NON-VOTED DEBT TFR</t>
  </si>
  <si>
    <t>FURTHER INFORMATION ON LARGE DOLLAR OR PERCENTAGE EXPENDITURE CHANGES, NOT IDENTIFIED ON THE DETAILED REVENUE COMPARISON AND DETAILED EXPENDITURE COMPARISON:</t>
  </si>
  <si>
    <t>St Sped-0-2</t>
  </si>
  <si>
    <t>13-14 Budget</t>
  </si>
  <si>
    <t>13-14</t>
  </si>
  <si>
    <t>13-14 BUDGET</t>
  </si>
  <si>
    <t>13-14 BDGT</t>
  </si>
  <si>
    <t>LAP INCREASE</t>
  </si>
  <si>
    <t>APPORTIONMENT INCREASES (NEW MONEY):</t>
  </si>
  <si>
    <t>% EXP INCREASE FROM 2012-13 TO 2013-14:</t>
  </si>
  <si>
    <t>13-14 BUDGT</t>
  </si>
  <si>
    <t>TITLE II</t>
  </si>
  <si>
    <t>APPORTIONMENT INCREASE</t>
  </si>
  <si>
    <t>LAP PROGRAM INCREASE</t>
  </si>
  <si>
    <t xml:space="preserve">  SUPPLIES/SVS EXTRACURR</t>
  </si>
  <si>
    <t>There are many reasons for the increased apportionment.  See the Highlights page for more detail.</t>
  </si>
  <si>
    <t>Increase to LEA due to legislative changes.</t>
  </si>
  <si>
    <t>Increase to LAP due to legislative changes.  Will have reporting repercussions and K-4 changes in the future.</t>
  </si>
  <si>
    <t>Increase due legislative increase to allocation, resulting in increased expenditures.</t>
  </si>
  <si>
    <t>TRANSFER TO CPF/DSF</t>
  </si>
  <si>
    <t>09/01/14 EST. FUND BAL</t>
  </si>
  <si>
    <t>8/31/2015 EST. FUND BAL</t>
  </si>
  <si>
    <t>14-15</t>
  </si>
  <si>
    <t>FTE COMPARISON - 14-15 BUDGET AND 13-14 BUDGET</t>
  </si>
  <si>
    <t>BUDGTD 14-15</t>
  </si>
  <si>
    <t>FUND BALANCE 9/1/14</t>
  </si>
  <si>
    <t>PROJ FUND BAL 8/31/15</t>
  </si>
  <si>
    <t>Woodland 2014-15 Budget</t>
  </si>
  <si>
    <t>14-15 Budget</t>
  </si>
  <si>
    <t>14-15 BUDGET</t>
  </si>
  <si>
    <t>14-15 BDGT</t>
  </si>
  <si>
    <t>BASIC ED/ALT ED</t>
  </si>
  <si>
    <t>43/6321</t>
  </si>
  <si>
    <t>8199-06/07</t>
  </si>
  <si>
    <t>HIGH SCHOOL GUIDANCE/COUNSELING</t>
  </si>
  <si>
    <t>MSOCS (INC OF $111.00/FTE + $164 ENH FOR 9-12)</t>
  </si>
  <si>
    <t>LAB SCIENCE CLASS SIZE (CLASS SIZE DEC TO 19.98)</t>
  </si>
  <si>
    <t>SPECIAL ED (4121 REV INC FOR APPMT INC)</t>
  </si>
  <si>
    <t>APPMT INC FOR ENROLLMENT INCREASE</t>
  </si>
  <si>
    <t>ENROLLMENT INCREASE (2119 TO 2141)</t>
  </si>
  <si>
    <t>LEVY EQUALIZATION INCREASE</t>
  </si>
  <si>
    <t>DECREASE IN FOOD SERVICE REVENUES (4-12 RED LUNCH)</t>
  </si>
  <si>
    <t>INC IN FEDERAL FOOD SERVICE REVENUES</t>
  </si>
  <si>
    <t>DECREASE IN KRL UNFUNDED REVENUES</t>
  </si>
  <si>
    <t>DECREASE IN REV FROM ESD/OTHER DIST (PIT CREW)</t>
  </si>
  <si>
    <t>% INCREASE - BUDGETED REVENUE FROM 2013-14 TO 2014-15</t>
  </si>
  <si>
    <t>First half of first year with new higher levy to support new high school.</t>
  </si>
  <si>
    <t>Underestimated revenue decrease from PY when added full-day KG.  More kids b/4 and after than KG all day.</t>
  </si>
  <si>
    <t>Decrease due to district covering reduced lunch price for grades 4-12.</t>
  </si>
  <si>
    <t>Increased budget for 9 new National Board Certified teachers</t>
  </si>
  <si>
    <t>Increase due to Legislature getting closer to fully funding Transportation.</t>
  </si>
  <si>
    <t>No allocation increase, but carrying over approx $85,000 from prior year.  No longer have state waiver, so will need to use</t>
  </si>
  <si>
    <t>funds on supplemental education services (tutoring) at WIS.</t>
  </si>
  <si>
    <t>Increase in Federal per meal amounts and participation has picked up over prior year budgeted.</t>
  </si>
  <si>
    <t>Receive about 65% back on telephone and date payments.  Were paying Eman approx $1,350 per month for fiber loop to WIS,</t>
  </si>
  <si>
    <t>but now paying Cascade Networks approx $348 per month, decreasing amount paid and amount received in Erate.</t>
  </si>
  <si>
    <t>KWRL unfunded amount decreased dramatically with the increased allocation, resulting in much lower amounts rec'd from KRL.</t>
  </si>
  <si>
    <t>Represents amounts from ESD/Hockinson SD for Partners in Transition program.  The total number of students decreased from</t>
  </si>
  <si>
    <t>11 budgeted last year to 7 budgeted this year.</t>
  </si>
  <si>
    <t>TEAM HIGH ($460,400 REV/$245,956 EXP)</t>
  </si>
  <si>
    <t>LEWIS RIVER ACADEMY ($287750 REV/$264,951 EXP)</t>
  </si>
  <si>
    <t>Change in accounting policy in accounting for KWRL expenditures for other districts/ESD112.</t>
  </si>
  <si>
    <t>Overall increase in certificated staff based upon various increases and decreases. Increases include 1.0 Admin budgeted for WPS Principal on administrative leave, 1.0 Art Teacher at WPS hired, but not budgeted last year, 1.0 increase at WMS, 1.0 increase for WIS teacher budgeted if class sizes increase over maximum, .60 Psychologist in Special Ed, .50 Reading teacher at Yale and .40 ELL teacher at WPS.</t>
  </si>
  <si>
    <t>Increase due to increase in staffing, budgeted position for administrative leave and movement on LEAP schedule.</t>
  </si>
  <si>
    <t>Overall increase in classified staff based on various increases and decreases and moving staff from one program to another based upon funding.  Increased the hours of most paras who had worked a shorter day on Mondays and longer days the rest of the week.  The Monday hours were increased to meet the rest of the week to allow for Monday morning professional development and also to give them time for prep and to aid with assessments.  Added locker room supervision at WMS and WHS and Paras to work in KG Reading, which were hired last year, but not budgeted.  Added 3 hour accompanist at WHS/WMS for choir program.  Added a total of 3 Special Ed positions, due to large case loads in CBL, WMS Resource and WPS Resource Rooms.  Increase of 4 Grounds/Csutodial/Maintenance positions as a result of the management review recommendations.</t>
  </si>
  <si>
    <t>2/3</t>
  </si>
  <si>
    <t>Increase for projected high cost students sent out of district for next year (1 to 49th St Academy and 3 to Fir Grove)</t>
  </si>
  <si>
    <t>New PIT program student needs van with wheelchair lift so budgeting to purchase for the program</t>
  </si>
  <si>
    <t>Decreased staff, based upong decreased enrollment projections in CTE programs</t>
  </si>
  <si>
    <t>Large carryover expected from 13-14, to be used to offset cost of supplemental ed services required again at WIS</t>
  </si>
  <si>
    <t>Increased budget to cover current and 9 newly certified National Board teachers.</t>
  </si>
  <si>
    <t>Increased mainly due to additional positions added in custodial, grounds and maintenance as a result of management review recommendations</t>
  </si>
  <si>
    <t>See Activity detail on Expenditure and Revenue Summary for details on increases and decreases affecting this total</t>
  </si>
  <si>
    <t>Includes purchase of second van for motor pool (one budgeted in 13-14) and increase for budgeted grounds equipment</t>
  </si>
  <si>
    <t>Majority of increase to cover cost of new routing software and training and also to cover utilities and Paradise Point location.  Also increased</t>
  </si>
  <si>
    <t>legal fees to reflect current year expenditures</t>
  </si>
  <si>
    <t>Increase mainly due to increased staffing (WMS/WHS locker room supervision and accompanist, KG Reading).</t>
  </si>
  <si>
    <t>Increase mainly due to adding budget to purchase technology to be prepared for upcoming classroom assessments.</t>
  </si>
  <si>
    <t>Majority of increase to cover increased Running Start payments to CWU (new program started in 13-14, but not budgeted).</t>
  </si>
  <si>
    <t>Increase caused by increased para hours and new para positions to cover large caseloads.</t>
  </si>
  <si>
    <t>CURRICULUM</t>
  </si>
  <si>
    <t>BLDG/MAINT SUPERVISION</t>
  </si>
  <si>
    <t>Changes made to where staff is coded to better reflect actual (between Supt Office/BS/HR/Assmt Curric)</t>
  </si>
  <si>
    <t>SUPERVISION/ASSESSMENT</t>
  </si>
  <si>
    <t>Increase to purchase technology for classroom assessments</t>
  </si>
  <si>
    <t>Position paid for administrative leave, budgeted for vacation/sick pay out that was previously included in act 27,</t>
  </si>
  <si>
    <t>prior year Admin increases not in 13-14 budget and increase to secretary salaries.</t>
  </si>
  <si>
    <t>Increases to out of district special education placements</t>
  </si>
  <si>
    <t>Increases for accounting changes and also required professional development set-asides for Title One</t>
  </si>
  <si>
    <t>Accounting Manual change - new account set up to track curriculum expenditures (mostly taken from Activity 27)</t>
  </si>
  <si>
    <t>Increases as a result of management review.  Added some clerical time for supervisor, added 1 grounds position,</t>
  </si>
  <si>
    <t>2 custodial positions and 1 maintenance position.  Also decreased some of the purchased services from past years.</t>
  </si>
  <si>
    <t>Decrease due to Yale Water System budgeted in prior year.</t>
  </si>
  <si>
    <t>Added 4 new copiers to buildings during last school year and increased per copy allocation.</t>
  </si>
  <si>
    <t xml:space="preserve">Majority of our share of Paradise Point site paid during 13-14.  Only paying what is remaining ($50,000 instead of </t>
  </si>
  <si>
    <t>$110,000 in comparison with prior year.</t>
  </si>
  <si>
    <t>TECHNOLOGY FOR CLASSROOM ASSESSMENTS</t>
  </si>
  <si>
    <t>SPECIAL ED INCR FOR INCREASE IN STUDENTS</t>
  </si>
  <si>
    <t>SPECIAL ED SAFETY NET INC FOR HI-COST STUDENTS</t>
  </si>
  <si>
    <t>DECREASE IN ADMIN MATCH (DISCONTINUING PROGRAM)</t>
  </si>
  <si>
    <t>MANAGEMENT REVIEW (GROUNDS/MAINT/CUSTODIAL)</t>
  </si>
  <si>
    <t>SPECIAL ED OUT OF DISTRICT STUDENTS</t>
  </si>
  <si>
    <t>SPECIAL ED WHEELCHAIR VAN</t>
  </si>
  <si>
    <t>BEA INCREASES FOR ADD'L STAFF</t>
  </si>
  <si>
    <t>TITLE ONE AYP REQUIREMENTS (PROF DEV/SUPP ED SVS)</t>
  </si>
  <si>
    <t>KWRL ROUTING SOFTWARE PURCHASE</t>
  </si>
  <si>
    <t>PARADISE POINT UTILITIES</t>
  </si>
  <si>
    <t>EMPLOYEE ON ADMINISTRATIVE LEAVE</t>
  </si>
  <si>
    <t>SPECIAL PROGRAMS STAFFING INCREASES</t>
  </si>
  <si>
    <t>2014-15 BUDGET HIGHLIGHTS</t>
  </si>
  <si>
    <t>ENROLLMENT HISTORY</t>
  </si>
  <si>
    <t>2013-14 ACTUAL AVG FTE 2183</t>
  </si>
  <si>
    <r>
      <t xml:space="preserve">  </t>
    </r>
    <r>
      <rPr>
        <b/>
        <sz val="10"/>
        <rFont val="Geneva"/>
      </rPr>
      <t>BUDGETED ENROLLMENT FTE</t>
    </r>
  </si>
  <si>
    <t>MONTH</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</si>
</sst>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_(* #,##0.000_);_(* \(#,##0.000\);_(* &quot;-&quot;??_);_(@_)"/>
    <numFmt numFmtId="166" formatCode="0.0%"/>
    <numFmt numFmtId="167" formatCode="_(* #,##0_);_(* \(#,##0\);_(* &quot;-&quot;??_);_(@_)"/>
    <numFmt numFmtId="168" formatCode="&quot;$&quot;#,##0"/>
  </numFmts>
  <fonts count="27">
    <font>
      <sz val="10"/>
      <name val="Geneva"/>
    </font>
    <font>
      <sz val="11"/>
      <color theme="1"/>
      <name val="Calibri"/>
      <family val="2"/>
      <scheme val="minor"/>
    </font>
    <font>
      <sz val="11"/>
      <color theme="1"/>
      <name val="Calibri"/>
      <family val="2"/>
      <scheme val="minor"/>
    </font>
    <font>
      <b/>
      <sz val="10"/>
      <name val="Geneva"/>
    </font>
    <font>
      <sz val="10"/>
      <name val="Geneva"/>
    </font>
    <font>
      <sz val="18"/>
      <name val="Geneva"/>
    </font>
    <font>
      <u/>
      <sz val="10"/>
      <name val="Geneva"/>
    </font>
    <font>
      <sz val="14"/>
      <name val="Geneva"/>
    </font>
    <font>
      <sz val="36"/>
      <name val="Geneva"/>
    </font>
    <font>
      <sz val="24"/>
      <name val="Geneva"/>
    </font>
    <font>
      <b/>
      <sz val="24"/>
      <name val="Geneva"/>
    </font>
    <font>
      <b/>
      <u/>
      <sz val="10"/>
      <name val="Geneva"/>
    </font>
    <font>
      <b/>
      <sz val="26"/>
      <name val="Geneva"/>
    </font>
    <font>
      <b/>
      <sz val="18"/>
      <name val="Geneva"/>
    </font>
    <font>
      <b/>
      <sz val="9"/>
      <name val="Geneva"/>
    </font>
    <font>
      <u/>
      <sz val="9"/>
      <name val="Geneva"/>
    </font>
    <font>
      <sz val="9"/>
      <name val="Geneva"/>
    </font>
    <font>
      <b/>
      <sz val="12"/>
      <name val="Geneva"/>
    </font>
    <font>
      <b/>
      <sz val="16"/>
      <name val="Geneva"/>
    </font>
    <font>
      <sz val="10"/>
      <name val="Arial"/>
      <family val="2"/>
    </font>
    <font>
      <sz val="10"/>
      <name val="Arial"/>
      <family val="2"/>
    </font>
    <font>
      <b/>
      <sz val="12"/>
      <name val="Arial"/>
      <family val="2"/>
    </font>
    <font>
      <sz val="10"/>
      <name val="MS Sans Serif"/>
      <family val="2"/>
    </font>
    <font>
      <sz val="12"/>
      <name val="Arial"/>
      <family val="2"/>
    </font>
    <font>
      <u/>
      <sz val="10"/>
      <color indexed="12"/>
      <name val="Arial"/>
      <family val="2"/>
    </font>
    <font>
      <sz val="12"/>
      <name val="Geneva"/>
    </font>
    <font>
      <b/>
      <sz val="1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double">
        <color indexed="64"/>
      </bottom>
      <diagonal/>
    </border>
  </borders>
  <cellStyleXfs count="28">
    <xf numFmtId="0" fontId="0" fillId="0" borderId="0"/>
    <xf numFmtId="43" fontId="4" fillId="0" borderId="0" applyFont="0" applyFill="0" applyBorder="0" applyAlignment="0" applyProtection="0"/>
    <xf numFmtId="44" fontId="4" fillId="0" borderId="0" applyFont="0" applyFill="0" applyBorder="0" applyAlignment="0" applyProtection="0"/>
    <xf numFmtId="0" fontId="16" fillId="0" borderId="0"/>
    <xf numFmtId="9" fontId="4" fillId="0" borderId="0" applyFont="0" applyFill="0" applyBorder="0" applyAlignment="0" applyProtection="0"/>
    <xf numFmtId="0" fontId="19" fillId="0" borderId="0"/>
    <xf numFmtId="43" fontId="19" fillId="0" borderId="0" applyFont="0" applyFill="0" applyBorder="0" applyAlignment="0" applyProtection="0"/>
    <xf numFmtId="44" fontId="19" fillId="0" borderId="0" applyFont="0" applyFill="0" applyBorder="0" applyAlignment="0" applyProtection="0"/>
    <xf numFmtId="0" fontId="24" fillId="0" borderId="0" applyNumberFormat="0" applyFill="0" applyBorder="0" applyAlignment="0" applyProtection="0">
      <alignment vertical="top"/>
      <protection locked="0"/>
    </xf>
    <xf numFmtId="0" fontId="2" fillId="0" borderId="0"/>
    <xf numFmtId="0" fontId="19" fillId="0" borderId="0"/>
    <xf numFmtId="0" fontId="19" fillId="0" borderId="0"/>
    <xf numFmtId="0" fontId="19" fillId="0" borderId="0"/>
    <xf numFmtId="0" fontId="23" fillId="0" borderId="0"/>
    <xf numFmtId="0" fontId="23" fillId="0" borderId="0"/>
    <xf numFmtId="0" fontId="22" fillId="0" borderId="0"/>
    <xf numFmtId="0" fontId="2" fillId="0" borderId="0"/>
    <xf numFmtId="0" fontId="22" fillId="0" borderId="0"/>
    <xf numFmtId="9" fontId="2" fillId="0" borderId="0" applyFont="0" applyFill="0" applyBorder="0" applyAlignment="0" applyProtection="0"/>
    <xf numFmtId="0" fontId="19" fillId="0" borderId="0"/>
    <xf numFmtId="0" fontId="23" fillId="0" borderId="0"/>
    <xf numFmtId="0" fontId="19" fillId="0" borderId="0"/>
    <xf numFmtId="0" fontId="23" fillId="0" borderId="0"/>
    <xf numFmtId="0" fontId="20" fillId="0" borderId="0"/>
    <xf numFmtId="0" fontId="1" fillId="0" borderId="0"/>
    <xf numFmtId="0" fontId="1" fillId="0" borderId="0"/>
    <xf numFmtId="0" fontId="19" fillId="0" borderId="0"/>
    <xf numFmtId="9" fontId="1" fillId="0" borderId="0" applyFont="0" applyFill="0" applyBorder="0" applyAlignment="0" applyProtection="0"/>
  </cellStyleXfs>
  <cellXfs count="115">
    <xf numFmtId="0" fontId="0" fillId="0" borderId="0" xfId="0"/>
    <xf numFmtId="0" fontId="5" fillId="0" borderId="0" xfId="0" applyFont="1"/>
    <xf numFmtId="164" fontId="5" fillId="0" borderId="0" xfId="2" applyNumberFormat="1" applyFont="1"/>
    <xf numFmtId="164" fontId="5" fillId="0" borderId="1" xfId="2" applyNumberFormat="1" applyFont="1" applyBorder="1"/>
    <xf numFmtId="5" fontId="0" fillId="0" borderId="0" xfId="0" applyNumberFormat="1"/>
    <xf numFmtId="5" fontId="0" fillId="0" borderId="0" xfId="0" applyNumberFormat="1" applyAlignment="1">
      <alignment horizontal="center"/>
    </xf>
    <xf numFmtId="5" fontId="0" fillId="0" borderId="1" xfId="0" applyNumberFormat="1" applyBorder="1"/>
    <xf numFmtId="5" fontId="0" fillId="0" borderId="1" xfId="0" applyNumberFormat="1" applyBorder="1" applyAlignment="1">
      <alignment horizontal="center"/>
    </xf>
    <xf numFmtId="0" fontId="0" fillId="0" borderId="0" xfId="0" applyAlignment="1">
      <alignment horizontal="center"/>
    </xf>
    <xf numFmtId="10" fontId="0" fillId="0" borderId="0" xfId="0" applyNumberFormat="1"/>
    <xf numFmtId="0" fontId="6" fillId="0" borderId="0" xfId="0" applyFont="1"/>
    <xf numFmtId="0" fontId="8" fillId="0" borderId="1" xfId="0" applyFont="1" applyBorder="1"/>
    <xf numFmtId="164" fontId="8" fillId="0" borderId="1" xfId="2" applyNumberFormat="1" applyFont="1" applyBorder="1"/>
    <xf numFmtId="166" fontId="5" fillId="0" borderId="0" xfId="0" applyNumberFormat="1" applyFont="1"/>
    <xf numFmtId="0" fontId="10" fillId="0" borderId="1" xfId="0" applyFont="1" applyBorder="1"/>
    <xf numFmtId="166" fontId="5" fillId="0" borderId="0" xfId="4" applyNumberFormat="1" applyFont="1"/>
    <xf numFmtId="0" fontId="3" fillId="0" borderId="0" xfId="0" applyFont="1" applyAlignment="1">
      <alignment horizontal="center"/>
    </xf>
    <xf numFmtId="165" fontId="0" fillId="0" borderId="0" xfId="1" applyNumberFormat="1" applyFont="1"/>
    <xf numFmtId="0" fontId="11" fillId="0" borderId="0" xfId="0" applyFont="1" applyAlignment="1">
      <alignment horizontal="center"/>
    </xf>
    <xf numFmtId="165" fontId="0" fillId="0" borderId="1" xfId="1" applyNumberFormat="1" applyFont="1" applyBorder="1"/>
    <xf numFmtId="10" fontId="0" fillId="0" borderId="0" xfId="4" applyNumberFormat="1" applyFont="1"/>
    <xf numFmtId="16" fontId="11" fillId="0" borderId="0" xfId="0" quotePrefix="1" applyNumberFormat="1" applyFont="1" applyAlignment="1">
      <alignment horizontal="center"/>
    </xf>
    <xf numFmtId="43" fontId="0" fillId="0" borderId="0" xfId="1" applyFont="1"/>
    <xf numFmtId="16" fontId="3" fillId="0" borderId="0" xfId="0" quotePrefix="1" applyNumberFormat="1" applyFont="1"/>
    <xf numFmtId="43" fontId="0" fillId="0" borderId="0" xfId="0" applyNumberFormat="1"/>
    <xf numFmtId="0" fontId="3" fillId="0" borderId="0" xfId="0" applyFont="1"/>
    <xf numFmtId="0" fontId="12" fillId="0" borderId="1" xfId="0" applyFont="1" applyBorder="1"/>
    <xf numFmtId="167" fontId="0" fillId="0" borderId="0" xfId="1" applyNumberFormat="1" applyFont="1"/>
    <xf numFmtId="44" fontId="0" fillId="0" borderId="0" xfId="2" applyFont="1"/>
    <xf numFmtId="164" fontId="0" fillId="0" borderId="0" xfId="2" applyNumberFormat="1" applyFont="1"/>
    <xf numFmtId="0" fontId="5" fillId="0" borderId="0" xfId="0" applyFont="1" applyAlignment="1">
      <alignment horizontal="right"/>
    </xf>
    <xf numFmtId="164" fontId="5" fillId="0" borderId="0" xfId="2" applyNumberFormat="1" applyFont="1" applyAlignment="1">
      <alignment horizontal="right"/>
    </xf>
    <xf numFmtId="2" fontId="0" fillId="0" borderId="0" xfId="0" applyNumberFormat="1"/>
    <xf numFmtId="2" fontId="5" fillId="0" borderId="0" xfId="0" applyNumberFormat="1" applyFont="1"/>
    <xf numFmtId="0" fontId="4" fillId="0" borderId="0" xfId="0" applyFont="1"/>
    <xf numFmtId="2" fontId="0" fillId="0" borderId="0" xfId="0" applyNumberFormat="1" applyFont="1"/>
    <xf numFmtId="2" fontId="3" fillId="0" borderId="0" xfId="0" applyNumberFormat="1" applyFont="1"/>
    <xf numFmtId="43" fontId="5" fillId="0" borderId="0" xfId="1" applyFont="1"/>
    <xf numFmtId="0" fontId="7" fillId="0" borderId="0" xfId="0" applyFont="1"/>
    <xf numFmtId="43" fontId="7" fillId="0" borderId="0" xfId="1" applyFont="1"/>
    <xf numFmtId="0" fontId="7" fillId="0" borderId="0" xfId="0" applyFont="1" applyAlignment="1">
      <alignment horizontal="center"/>
    </xf>
    <xf numFmtId="16" fontId="7" fillId="0" borderId="0" xfId="0" quotePrefix="1" applyNumberFormat="1" applyFont="1" applyAlignment="1">
      <alignment horizontal="center"/>
    </xf>
    <xf numFmtId="0" fontId="7" fillId="0" borderId="0" xfId="0" quotePrefix="1" applyFont="1" applyAlignment="1">
      <alignment horizontal="center"/>
    </xf>
    <xf numFmtId="9" fontId="0" fillId="0" borderId="0" xfId="4" applyFont="1"/>
    <xf numFmtId="9" fontId="0" fillId="0" borderId="1" xfId="4" applyFont="1" applyBorder="1"/>
    <xf numFmtId="166" fontId="0" fillId="0" borderId="0" xfId="4" applyNumberFormat="1" applyFont="1"/>
    <xf numFmtId="10" fontId="3" fillId="0" borderId="0" xfId="0" applyNumberFormat="1" applyFont="1" applyAlignment="1">
      <alignment horizontal="center"/>
    </xf>
    <xf numFmtId="166" fontId="0" fillId="0" borderId="0" xfId="0" applyNumberFormat="1"/>
    <xf numFmtId="0" fontId="5" fillId="0" borderId="1" xfId="0" applyFont="1" applyBorder="1"/>
    <xf numFmtId="0" fontId="10" fillId="0" borderId="0" xfId="0" applyFont="1" applyBorder="1"/>
    <xf numFmtId="0" fontId="5" fillId="0" borderId="0" xfId="0" applyFont="1" applyBorder="1"/>
    <xf numFmtId="164" fontId="5" fillId="0" borderId="0" xfId="2" applyNumberFormat="1" applyFont="1" applyBorder="1"/>
    <xf numFmtId="43" fontId="7" fillId="0" borderId="0" xfId="0" applyNumberFormat="1" applyFont="1"/>
    <xf numFmtId="0" fontId="13" fillId="0" borderId="0" xfId="0" applyFont="1"/>
    <xf numFmtId="0" fontId="8" fillId="0" borderId="0" xfId="0" applyFont="1" applyBorder="1"/>
    <xf numFmtId="0" fontId="0" fillId="0" borderId="0" xfId="0" applyNumberFormat="1" applyAlignment="1">
      <alignment horizontal="center"/>
    </xf>
    <xf numFmtId="167" fontId="14" fillId="0" borderId="0" xfId="1" applyNumberFormat="1" applyFont="1"/>
    <xf numFmtId="0" fontId="16" fillId="0" borderId="0" xfId="3"/>
    <xf numFmtId="0" fontId="14" fillId="0" borderId="0" xfId="3" applyFont="1"/>
    <xf numFmtId="0" fontId="14" fillId="0" borderId="0" xfId="3" applyFont="1" applyAlignment="1">
      <alignment horizontal="center"/>
    </xf>
    <xf numFmtId="0" fontId="15" fillId="0" borderId="0" xfId="3" applyFont="1" applyAlignment="1">
      <alignment horizontal="right"/>
    </xf>
    <xf numFmtId="3" fontId="16" fillId="0" borderId="0" xfId="3" applyNumberFormat="1"/>
    <xf numFmtId="3" fontId="14" fillId="0" borderId="0" xfId="3" applyNumberFormat="1" applyFont="1"/>
    <xf numFmtId="167" fontId="16" fillId="0" borderId="0" xfId="1" applyNumberFormat="1" applyFont="1"/>
    <xf numFmtId="0" fontId="16" fillId="0" borderId="0" xfId="3" applyFont="1"/>
    <xf numFmtId="167" fontId="16" fillId="0" borderId="0" xfId="3" applyNumberFormat="1"/>
    <xf numFmtId="0" fontId="17" fillId="0" borderId="0" xfId="3" applyFont="1"/>
    <xf numFmtId="14" fontId="16" fillId="0" borderId="0" xfId="3" quotePrefix="1" applyNumberFormat="1"/>
    <xf numFmtId="0" fontId="11" fillId="0" borderId="0" xfId="0" quotePrefix="1" applyFont="1" applyAlignment="1">
      <alignment horizontal="center"/>
    </xf>
    <xf numFmtId="0" fontId="18" fillId="0" borderId="0" xfId="0" applyFont="1"/>
    <xf numFmtId="0" fontId="19" fillId="0" borderId="0" xfId="0" applyFont="1"/>
    <xf numFmtId="0" fontId="19" fillId="0" borderId="0" xfId="0" applyFont="1" applyBorder="1"/>
    <xf numFmtId="44" fontId="21" fillId="0" borderId="0" xfId="2" applyFont="1" applyAlignment="1">
      <alignment horizontal="right"/>
    </xf>
    <xf numFmtId="164" fontId="23" fillId="0" borderId="0" xfId="2" applyNumberFormat="1" applyFont="1"/>
    <xf numFmtId="164" fontId="23" fillId="0" borderId="1" xfId="2" applyNumberFormat="1" applyFont="1" applyBorder="1"/>
    <xf numFmtId="166" fontId="16" fillId="0" borderId="0" xfId="4" applyNumberFormat="1" applyFont="1"/>
    <xf numFmtId="0" fontId="23" fillId="0" borderId="0" xfId="0" applyFont="1"/>
    <xf numFmtId="44" fontId="21" fillId="0" borderId="0" xfId="2" applyFont="1" applyAlignment="1">
      <alignment horizontal="center"/>
    </xf>
    <xf numFmtId="164" fontId="23" fillId="0" borderId="2" xfId="2" applyNumberFormat="1" applyFont="1" applyBorder="1"/>
    <xf numFmtId="5" fontId="0" fillId="0" borderId="0" xfId="0" applyNumberFormat="1" applyAlignment="1">
      <alignment horizontal="right"/>
    </xf>
    <xf numFmtId="44" fontId="0" fillId="0" borderId="0" xfId="0" applyNumberFormat="1"/>
    <xf numFmtId="43" fontId="0" fillId="0" borderId="0" xfId="1" applyNumberFormat="1" applyFont="1"/>
    <xf numFmtId="168" fontId="5" fillId="0" borderId="0" xfId="1" applyNumberFormat="1" applyFont="1"/>
    <xf numFmtId="43" fontId="16" fillId="0" borderId="0" xfId="1" applyFont="1"/>
    <xf numFmtId="43" fontId="16" fillId="0" borderId="0" xfId="3" applyNumberFormat="1"/>
    <xf numFmtId="0" fontId="25" fillId="0" borderId="0" xfId="0" applyFont="1"/>
    <xf numFmtId="164" fontId="0" fillId="0" borderId="0" xfId="0" applyNumberFormat="1"/>
    <xf numFmtId="0" fontId="5" fillId="0" borderId="0" xfId="0" applyFont="1" applyBorder="1" applyAlignment="1">
      <alignment vertical="center"/>
    </xf>
    <xf numFmtId="0" fontId="0" fillId="0" borderId="0" xfId="0" applyAlignment="1">
      <alignment horizontal="left"/>
    </xf>
    <xf numFmtId="0" fontId="9" fillId="0" borderId="0" xfId="0" applyFont="1" applyBorder="1"/>
    <xf numFmtId="0" fontId="26" fillId="0" borderId="0" xfId="0" applyFont="1"/>
    <xf numFmtId="14" fontId="26" fillId="0" borderId="0" xfId="0" applyNumberFormat="1" applyFont="1"/>
    <xf numFmtId="0" fontId="0" fillId="0" borderId="0" xfId="0" applyAlignment="1">
      <alignment horizontal="center" vertical="center"/>
    </xf>
    <xf numFmtId="0" fontId="16" fillId="0" borderId="0" xfId="3" quotePrefix="1"/>
    <xf numFmtId="0" fontId="0" fillId="0" borderId="0" xfId="0"/>
    <xf numFmtId="0" fontId="0" fillId="0" borderId="0" xfId="0"/>
    <xf numFmtId="5" fontId="0" fillId="0" borderId="0" xfId="0" applyNumberFormat="1" applyAlignment="1">
      <alignment horizontal="center"/>
    </xf>
    <xf numFmtId="0" fontId="3" fillId="0" borderId="0" xfId="0" applyFont="1"/>
    <xf numFmtId="165" fontId="0" fillId="0" borderId="0" xfId="1" applyNumberFormat="1" applyFont="1"/>
    <xf numFmtId="0" fontId="0" fillId="0" borderId="0" xfId="0" applyFont="1" applyAlignment="1">
      <alignment horizontal="center"/>
    </xf>
    <xf numFmtId="0" fontId="0" fillId="0" borderId="0" xfId="0" applyAlignment="1">
      <alignment vertical="top"/>
    </xf>
    <xf numFmtId="0" fontId="0" fillId="0" borderId="0" xfId="0" applyNumberFormat="1" applyAlignment="1">
      <alignment horizontal="center"/>
    </xf>
    <xf numFmtId="0" fontId="0" fillId="0" borderId="0" xfId="0" applyAlignment="1"/>
    <xf numFmtId="0" fontId="0" fillId="0" borderId="0" xfId="0" applyFont="1" applyAlignment="1">
      <alignment horizontal="center" vertical="center"/>
    </xf>
    <xf numFmtId="16" fontId="0" fillId="0" borderId="0" xfId="0" quotePrefix="1" applyNumberFormat="1" applyAlignment="1">
      <alignment horizontal="center" vertical="center"/>
    </xf>
    <xf numFmtId="0" fontId="0" fillId="0" borderId="0" xfId="0" applyFont="1"/>
    <xf numFmtId="16" fontId="3" fillId="0" borderId="0" xfId="0" applyNumberFormat="1" applyFont="1" applyAlignment="1">
      <alignment horizontal="center"/>
    </xf>
    <xf numFmtId="0" fontId="3" fillId="0" borderId="1" xfId="0" applyFont="1" applyBorder="1" applyAlignment="1">
      <alignment horizontal="center"/>
    </xf>
    <xf numFmtId="16" fontId="3" fillId="0" borderId="1" xfId="0" applyNumberFormat="1" applyFont="1" applyBorder="1" applyAlignment="1">
      <alignment horizontal="center"/>
    </xf>
    <xf numFmtId="0" fontId="3" fillId="0" borderId="1" xfId="0" applyFont="1" applyBorder="1"/>
    <xf numFmtId="16" fontId="3" fillId="0" borderId="0" xfId="0" quotePrefix="1" applyNumberFormat="1" applyFont="1" applyAlignment="1">
      <alignment horizontal="center"/>
    </xf>
    <xf numFmtId="0" fontId="6" fillId="0" borderId="1" xfId="0" applyFont="1" applyBorder="1"/>
    <xf numFmtId="0" fontId="0" fillId="0" borderId="0" xfId="0" applyAlignment="1">
      <alignment horizontal="left" wrapText="1"/>
    </xf>
    <xf numFmtId="0" fontId="0" fillId="0" borderId="0" xfId="0" applyAlignment="1">
      <alignment horizontal="left" vertical="top" wrapText="1"/>
    </xf>
    <xf numFmtId="0" fontId="3" fillId="0" borderId="0" xfId="0" applyFont="1" applyAlignment="1">
      <alignment horizontal="left" vertical="top" wrapText="1"/>
    </xf>
  </cellXfs>
  <cellStyles count="28">
    <cellStyle name="Comma" xfId="1" builtinId="3"/>
    <cellStyle name="Comma 3" xfId="6"/>
    <cellStyle name="Currency" xfId="2" builtinId="4"/>
    <cellStyle name="Currency 2" xfId="7"/>
    <cellStyle name="Hyperlink 2" xfId="8"/>
    <cellStyle name="Normal" xfId="0" builtinId="0"/>
    <cellStyle name="Normal 2" xfId="5"/>
    <cellStyle name="Normal 2 2" xfId="9"/>
    <cellStyle name="Normal 2 2 2" xfId="10"/>
    <cellStyle name="Normal 2 2 3" xfId="24"/>
    <cellStyle name="Normal 2 3" xfId="11"/>
    <cellStyle name="Normal 3 2" xfId="12"/>
    <cellStyle name="Normal 3 2 2" xfId="13"/>
    <cellStyle name="Normal 3 2 3" xfId="22"/>
    <cellStyle name="Normal 3 2 4" xfId="20"/>
    <cellStyle name="Normal 3 3" xfId="21"/>
    <cellStyle name="Normal 3 4" xfId="19"/>
    <cellStyle name="Normal 4" xfId="14"/>
    <cellStyle name="Normal 5" xfId="15"/>
    <cellStyle name="Normal 6" xfId="16"/>
    <cellStyle name="Normal 6 2" xfId="25"/>
    <cellStyle name="Normal 7" xfId="17"/>
    <cellStyle name="Normal 9" xfId="23"/>
    <cellStyle name="Normal 9 2" xfId="26"/>
    <cellStyle name="Normal_08-09 BUDGTD END FB" xfId="3"/>
    <cellStyle name="Percent" xfId="4" builtinId="5"/>
    <cellStyle name="Percent 2" xfId="18"/>
    <cellStyle name="Percent 2 2" xfId="27"/>
  </cellStyles>
  <dxfs count="44">
    <dxf>
      <font>
        <b val="0"/>
        <i val="0"/>
        <strike val="0"/>
        <condense val="0"/>
        <extend val="0"/>
        <outline val="0"/>
        <shadow val="0"/>
        <u val="none"/>
        <vertAlign val="baseline"/>
        <sz val="14"/>
        <color auto="1"/>
        <name val="Geneva"/>
        <scheme val="none"/>
      </font>
      <numFmt numFmtId="21" formatCode="d\-mmm"/>
      <alignment horizontal="center" vertical="bottom" textRotation="0" wrapText="0" indent="0" justifyLastLine="0" shrinkToFit="0" readingOrder="0"/>
    </dxf>
    <dxf>
      <font>
        <b val="0"/>
        <i val="0"/>
        <strike val="0"/>
        <condense val="0"/>
        <extend val="0"/>
        <outline val="0"/>
        <shadow val="0"/>
        <u val="none"/>
        <vertAlign val="baseline"/>
        <sz val="14"/>
        <color auto="1"/>
        <name val="Geneva"/>
        <scheme val="none"/>
      </font>
      <numFmt numFmtId="21" formatCode="d\-mmm"/>
      <alignment horizontal="center" vertical="bottom" textRotation="0" wrapText="0" indent="0" justifyLastLine="0" shrinkToFit="0" readingOrder="0"/>
    </dxf>
    <dxf>
      <font>
        <b val="0"/>
        <i val="0"/>
        <strike val="0"/>
        <condense val="0"/>
        <extend val="0"/>
        <outline val="0"/>
        <shadow val="0"/>
        <u val="none"/>
        <vertAlign val="baseline"/>
        <sz val="14"/>
        <color auto="1"/>
        <name val="Geneva"/>
        <scheme val="none"/>
      </font>
      <numFmt numFmtId="21" formatCode="d\-mmm"/>
      <alignment horizontal="center" vertical="bottom" textRotation="0" wrapText="0" indent="0" justifyLastLine="0" shrinkToFit="0" readingOrder="0"/>
    </dxf>
    <dxf>
      <font>
        <b val="0"/>
        <i val="0"/>
        <strike val="0"/>
        <condense val="0"/>
        <extend val="0"/>
        <outline val="0"/>
        <shadow val="0"/>
        <u val="none"/>
        <vertAlign val="baseline"/>
        <sz val="14"/>
        <color auto="1"/>
        <name val="Geneva"/>
        <scheme val="none"/>
      </font>
      <numFmt numFmtId="21" formatCode="d\-mmm"/>
      <alignment horizontal="center" vertical="bottom" textRotation="0" wrapText="0" indent="0" justifyLastLine="0" shrinkToFit="0" readingOrder="0"/>
    </dxf>
    <dxf>
      <font>
        <b val="0"/>
        <i val="0"/>
        <strike val="0"/>
        <condense val="0"/>
        <extend val="0"/>
        <outline val="0"/>
        <shadow val="0"/>
        <u val="none"/>
        <vertAlign val="baseline"/>
        <sz val="14"/>
        <color auto="1"/>
        <name val="Geneva"/>
        <scheme val="none"/>
      </font>
      <alignment horizontal="center" vertical="bottom" textRotation="0" wrapText="0" indent="0" justifyLastLine="0" shrinkToFit="0" readingOrder="0"/>
    </dxf>
    <dxf>
      <font>
        <b val="0"/>
        <i val="0"/>
        <strike val="0"/>
        <condense val="0"/>
        <extend val="0"/>
        <outline val="0"/>
        <shadow val="0"/>
        <u val="none"/>
        <vertAlign val="baseline"/>
        <sz val="14"/>
        <color auto="1"/>
        <name val="Geneva"/>
        <scheme val="none"/>
      </font>
      <alignment horizontal="center" vertical="bottom" textRotation="0" wrapText="0" indent="0" justifyLastLine="0" shrinkToFit="0" readingOrder="0"/>
    </dxf>
    <dxf>
      <font>
        <b val="0"/>
        <i val="0"/>
        <strike val="0"/>
        <condense val="0"/>
        <extend val="0"/>
        <outline val="0"/>
        <shadow val="0"/>
        <u val="none"/>
        <vertAlign val="baseline"/>
        <sz val="14"/>
        <color auto="1"/>
        <name val="Geneva"/>
        <scheme val="none"/>
      </font>
      <alignment horizontal="center" vertical="bottom" textRotation="0" wrapText="0" indent="0" justifyLastLine="0" shrinkToFit="0" readingOrder="0"/>
    </dxf>
    <dxf>
      <font>
        <b val="0"/>
        <i val="0"/>
        <strike val="0"/>
        <condense val="0"/>
        <extend val="0"/>
        <outline val="0"/>
        <shadow val="0"/>
        <u val="none"/>
        <vertAlign val="baseline"/>
        <sz val="14"/>
        <color auto="1"/>
        <name val="Geneva"/>
        <scheme val="none"/>
      </font>
    </dxf>
    <dxf>
      <font>
        <b val="0"/>
        <i val="0"/>
        <strike val="0"/>
        <condense val="0"/>
        <extend val="0"/>
        <outline val="0"/>
        <shadow val="0"/>
        <u val="none"/>
        <vertAlign val="baseline"/>
        <sz val="14"/>
        <color auto="1"/>
        <name val="Geneva"/>
        <scheme val="none"/>
      </font>
      <alignment horizontal="center" vertical="bottom" textRotation="0" wrapText="0" indent="0" justifyLastLine="0" shrinkToFit="0" readingOrder="0"/>
    </dxf>
    <dxf>
      <font>
        <b val="0"/>
        <i val="0"/>
        <strike val="0"/>
        <condense val="0"/>
        <extend val="0"/>
        <outline val="0"/>
        <shadow val="0"/>
        <u val="none"/>
        <vertAlign val="baseline"/>
        <sz val="14"/>
        <color auto="1"/>
        <name val="Geneva"/>
        <scheme val="none"/>
      </font>
    </dxf>
    <dxf>
      <font>
        <b val="0"/>
        <i val="0"/>
        <strike val="0"/>
        <condense val="0"/>
        <extend val="0"/>
        <outline val="0"/>
        <shadow val="0"/>
        <u val="none"/>
        <vertAlign val="baseline"/>
        <sz val="14"/>
        <color auto="1"/>
        <name val="Geneva"/>
        <scheme val="none"/>
      </font>
      <alignment horizontal="center" vertical="bottom" textRotation="0" wrapText="0" indent="0" justifyLastLine="0" shrinkToFit="0" readingOrder="0"/>
    </dxf>
    <dxf>
      <font>
        <b val="0"/>
        <i val="0"/>
        <strike val="0"/>
        <condense val="0"/>
        <extend val="0"/>
        <outline val="0"/>
        <shadow val="0"/>
        <u val="none"/>
        <vertAlign val="baseline"/>
        <sz val="14"/>
        <color auto="1"/>
        <name val="Geneva"/>
        <scheme val="none"/>
      </font>
    </dxf>
    <dxf>
      <font>
        <b val="0"/>
        <i val="0"/>
        <strike val="0"/>
        <condense val="0"/>
        <extend val="0"/>
        <outline val="0"/>
        <shadow val="0"/>
        <u val="none"/>
        <vertAlign val="baseline"/>
        <sz val="14"/>
        <color auto="1"/>
        <name val="Geneva"/>
        <scheme val="none"/>
      </font>
      <alignment horizontal="center" vertical="bottom" textRotation="0" wrapText="0" indent="0" justifyLastLine="0" shrinkToFit="0" readingOrder="0"/>
    </dxf>
    <dxf>
      <font>
        <b val="0"/>
        <i val="0"/>
        <strike val="0"/>
        <condense val="0"/>
        <extend val="0"/>
        <outline val="0"/>
        <shadow val="0"/>
        <u val="none"/>
        <vertAlign val="baseline"/>
        <sz val="14"/>
        <color auto="1"/>
        <name val="Geneva"/>
        <scheme val="none"/>
      </font>
      <numFmt numFmtId="21" formatCode="d\-mmm"/>
      <alignment horizontal="center" vertical="bottom" textRotation="0" wrapText="0" indent="0" justifyLastLine="0" shrinkToFit="0" readingOrder="0"/>
    </dxf>
    <dxf>
      <font>
        <b val="0"/>
        <i val="0"/>
        <strike val="0"/>
        <condense val="0"/>
        <extend val="0"/>
        <outline val="0"/>
        <shadow val="0"/>
        <u val="none"/>
        <vertAlign val="baseline"/>
        <sz val="36"/>
        <color auto="1"/>
        <name val="Geneva"/>
        <scheme val="none"/>
      </font>
      <numFmt numFmtId="164" formatCode="_(&quot;$&quot;* #,##0_);_(&quot;$&quot;* \(#,##0\);_(&quot;$&quot;* &quot;-&quot;??_);_(@_)"/>
      <border diagonalUp="0" diagonalDown="0" outline="0">
        <left/>
        <right/>
        <top/>
        <bottom style="thin">
          <color indexed="64"/>
        </bottom>
      </border>
    </dxf>
    <dxf>
      <font>
        <b val="0"/>
        <i val="0"/>
        <strike val="0"/>
        <condense val="0"/>
        <extend val="0"/>
        <outline val="0"/>
        <shadow val="0"/>
        <u val="none"/>
        <vertAlign val="baseline"/>
        <sz val="18"/>
        <color auto="1"/>
        <name val="Geneva"/>
        <scheme val="none"/>
      </font>
    </dxf>
    <dxf>
      <font>
        <b val="0"/>
        <i val="0"/>
        <strike val="0"/>
        <condense val="0"/>
        <extend val="0"/>
        <outline val="0"/>
        <shadow val="0"/>
        <u val="none"/>
        <vertAlign val="baseline"/>
        <sz val="36"/>
        <color auto="1"/>
        <name val="Geneva"/>
        <scheme val="none"/>
      </font>
      <border diagonalUp="0" diagonalDown="0" outline="0">
        <left/>
        <right/>
        <top/>
        <bottom style="thin">
          <color indexed="64"/>
        </bottom>
      </border>
    </dxf>
    <dxf>
      <font>
        <b val="0"/>
        <i val="0"/>
        <strike val="0"/>
        <condense val="0"/>
        <extend val="0"/>
        <outline val="0"/>
        <shadow val="0"/>
        <u val="none"/>
        <vertAlign val="baseline"/>
        <sz val="18"/>
        <color auto="1"/>
        <name val="Geneva"/>
        <scheme val="none"/>
      </font>
    </dxf>
    <dxf>
      <font>
        <b val="0"/>
        <i val="0"/>
        <strike val="0"/>
        <condense val="0"/>
        <extend val="0"/>
        <outline val="0"/>
        <shadow val="0"/>
        <u val="none"/>
        <vertAlign val="baseline"/>
        <sz val="36"/>
        <color auto="1"/>
        <name val="Geneva"/>
        <scheme val="none"/>
      </font>
      <border diagonalUp="0" diagonalDown="0" outline="0">
        <left/>
        <right/>
        <top/>
        <bottom style="thin">
          <color indexed="64"/>
        </bottom>
      </border>
    </dxf>
    <dxf>
      <font>
        <b val="0"/>
        <i val="0"/>
        <strike val="0"/>
        <condense val="0"/>
        <extend val="0"/>
        <outline val="0"/>
        <shadow val="0"/>
        <u val="none"/>
        <vertAlign val="baseline"/>
        <sz val="18"/>
        <color auto="1"/>
        <name val="Geneva"/>
        <scheme val="none"/>
      </font>
    </dxf>
    <dxf>
      <font>
        <b val="0"/>
        <i val="0"/>
        <strike val="0"/>
        <condense val="0"/>
        <extend val="0"/>
        <outline val="0"/>
        <shadow val="0"/>
        <u val="none"/>
        <vertAlign val="baseline"/>
        <sz val="36"/>
        <color auto="1"/>
        <name val="Geneva"/>
        <scheme val="none"/>
      </font>
      <border diagonalUp="0" diagonalDown="0" outline="0">
        <left/>
        <right/>
        <top/>
        <bottom style="thin">
          <color indexed="64"/>
        </bottom>
      </border>
    </dxf>
    <dxf>
      <font>
        <b val="0"/>
        <i val="0"/>
        <strike val="0"/>
        <condense val="0"/>
        <extend val="0"/>
        <outline val="0"/>
        <shadow val="0"/>
        <u val="none"/>
        <vertAlign val="baseline"/>
        <sz val="18"/>
        <color auto="1"/>
        <name val="Geneva"/>
        <scheme val="none"/>
      </font>
    </dxf>
    <dxf>
      <font>
        <b val="0"/>
        <i val="0"/>
        <strike val="0"/>
        <condense val="0"/>
        <extend val="0"/>
        <outline val="0"/>
        <shadow val="0"/>
        <u val="none"/>
        <vertAlign val="baseline"/>
        <sz val="36"/>
        <color auto="1"/>
        <name val="Geneva"/>
        <scheme val="none"/>
      </font>
      <border diagonalUp="0" diagonalDown="0" outline="0">
        <left/>
        <right/>
        <top/>
        <bottom style="thin">
          <color indexed="64"/>
        </bottom>
      </border>
    </dxf>
    <dxf>
      <font>
        <b val="0"/>
        <i val="0"/>
        <strike val="0"/>
        <condense val="0"/>
        <extend val="0"/>
        <outline val="0"/>
        <shadow val="0"/>
        <u val="none"/>
        <vertAlign val="baseline"/>
        <sz val="18"/>
        <color auto="1"/>
        <name val="Geneva"/>
        <scheme val="none"/>
      </font>
    </dxf>
    <dxf>
      <font>
        <b val="0"/>
        <i val="0"/>
        <strike val="0"/>
        <condense val="0"/>
        <extend val="0"/>
        <outline val="0"/>
        <shadow val="0"/>
        <u val="none"/>
        <vertAlign val="baseline"/>
        <sz val="36"/>
        <color auto="1"/>
        <name val="Geneva"/>
        <scheme val="none"/>
      </font>
      <border diagonalUp="0" diagonalDown="0" outline="0">
        <left/>
        <right/>
        <top/>
        <bottom style="thin">
          <color indexed="64"/>
        </bottom>
      </border>
    </dxf>
    <dxf>
      <font>
        <b val="0"/>
        <i val="0"/>
        <strike val="0"/>
        <condense val="0"/>
        <extend val="0"/>
        <outline val="0"/>
        <shadow val="0"/>
        <u val="none"/>
        <vertAlign val="baseline"/>
        <sz val="18"/>
        <color auto="1"/>
        <name val="Geneva"/>
        <scheme val="none"/>
      </font>
    </dxf>
    <dxf>
      <font>
        <b/>
        <i val="0"/>
        <strike val="0"/>
        <condense val="0"/>
        <extend val="0"/>
        <outline val="0"/>
        <shadow val="0"/>
        <u val="none"/>
        <vertAlign val="baseline"/>
        <sz val="26"/>
        <color auto="1"/>
        <name val="Geneva"/>
        <scheme val="none"/>
      </font>
      <border diagonalUp="0" diagonalDown="0" outline="0">
        <left/>
        <right/>
        <top/>
        <bottom style="thin">
          <color indexed="64"/>
        </bottom>
      </border>
    </dxf>
    <dxf>
      <font>
        <b val="0"/>
        <i val="0"/>
        <strike val="0"/>
        <condense val="0"/>
        <extend val="0"/>
        <outline val="0"/>
        <shadow val="0"/>
        <u val="none"/>
        <vertAlign val="baseline"/>
        <sz val="18"/>
        <color auto="1"/>
        <name val="Geneva"/>
        <scheme val="none"/>
      </font>
    </dxf>
    <dxf>
      <border outline="0">
        <bottom style="thin">
          <color indexed="64"/>
        </bottom>
      </border>
    </dxf>
    <dxf>
      <font>
        <b val="0"/>
        <i val="0"/>
        <strike val="0"/>
        <condense val="0"/>
        <extend val="0"/>
        <outline val="0"/>
        <shadow val="0"/>
        <u val="none"/>
        <vertAlign val="baseline"/>
        <sz val="36"/>
        <color auto="1"/>
        <name val="Geneva"/>
        <scheme val="none"/>
      </font>
    </dxf>
    <dxf>
      <font>
        <b val="0"/>
        <i val="0"/>
        <strike val="0"/>
        <condense val="0"/>
        <extend val="0"/>
        <outline val="0"/>
        <shadow val="0"/>
        <u val="none"/>
        <vertAlign val="baseline"/>
        <sz val="12"/>
        <color auto="1"/>
        <name val="Arial"/>
        <scheme val="none"/>
      </font>
      <numFmt numFmtId="164" formatCode="_(&quot;$&quot;* #,##0_);_(&quot;$&quot;* \(#,##0\);_(&quot;$&quot;* &quot;-&quot;??_);_(@_)"/>
    </dxf>
    <dxf>
      <font>
        <b/>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quot;$&quot;* #,##0_);_(&quot;$&quot;* \(#,##0\);_(&quot;$&quot;* &quot;-&quot;??_);_(@_)"/>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quot;$&quot;* #,##0_);_(&quot;$&quot;* \(#,##0\);_(&quot;$&quot;* &quot;-&quot;??_);_(@_)"/>
    </dxf>
    <dxf>
      <font>
        <b/>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quot;$&quot;* #,##0_);_(&quot;$&quot;* \(#,##0\);_(&quot;$&quot;* &quot;-&quot;??_);_(@_)"/>
    </dxf>
    <dxf>
      <font>
        <b/>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quot;$&quot;* #,##0_);_(&quot;$&quot;* \(#,##0\);_(&quot;$&quot;* &quot;-&quot;??_);_(@_)"/>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id="2" name="Table2" displayName="Table2" ref="A2:F10" headerRowCount="0" totalsRowShown="0" headerRowDxfId="43" dataDxfId="42" headerRowCellStyle="Currency" dataCellStyle="Currency">
  <tableColumns count="6">
    <tableColumn id="1" name="Column1" headerRowDxfId="41" dataDxfId="40"/>
    <tableColumn id="2" name="Column2" headerRowDxfId="39" dataDxfId="38" headerRowCellStyle="Currency" dataCellStyle="Currency"/>
    <tableColumn id="3" name="Column3" headerRowDxfId="37" dataDxfId="36" headerRowCellStyle="Currency" dataCellStyle="Currency"/>
    <tableColumn id="4" name="Column4" headerRowDxfId="35" dataDxfId="34" headerRowCellStyle="Currency" dataCellStyle="Currency"/>
    <tableColumn id="5" name="Column5" headerRowDxfId="33" dataDxfId="32" headerRowCellStyle="Currency" dataCellStyle="Currency"/>
    <tableColumn id="6" name="Column6" headerRowDxfId="31" dataDxfId="30" headerRowCellStyle="Currency" dataCellStyle="Currency"/>
  </tableColumns>
  <tableStyleInfo name="TableStyleMedium11" showFirstColumn="0" showLastColumn="0" showRowStripes="1" showColumnStripes="0"/>
</table>
</file>

<file path=xl/tables/table2.xml><?xml version="1.0" encoding="utf-8"?>
<table xmlns="http://schemas.openxmlformats.org/spreadsheetml/2006/main" id="3" name="Table3" displayName="Table3" ref="A2:G48" headerRowCount="0" totalsRowShown="0" headerRowDxfId="29" dataDxfId="27" headerRowBorderDxfId="28">
  <tableColumns count="7">
    <tableColumn id="1" name="Column1" headerRowDxfId="26" dataDxfId="25"/>
    <tableColumn id="2" name="Column2" headerRowDxfId="24" dataDxfId="23"/>
    <tableColumn id="3" name="Column3" headerRowDxfId="22" dataDxfId="21"/>
    <tableColumn id="4" name="Column4" headerRowDxfId="20" dataDxfId="19"/>
    <tableColumn id="5" name="Column5" headerRowDxfId="18" dataDxfId="17"/>
    <tableColumn id="6" name="Column6" headerRowDxfId="16" dataDxfId="15"/>
    <tableColumn id="7" name="Column7" headerRowDxfId="14" headerRowCellStyle="Currency"/>
  </tableColumns>
  <tableStyleInfo name="TableStyleMedium11" showFirstColumn="0" showLastColumn="0" showRowStripes="1" showColumnStripes="0"/>
</table>
</file>

<file path=xl/tables/table3.xml><?xml version="1.0" encoding="utf-8"?>
<table xmlns="http://schemas.openxmlformats.org/spreadsheetml/2006/main" id="4" name="Table4" displayName="Table4" ref="A6:J39" headerRowCount="0" totalsRowShown="0" headerRowDxfId="13">
  <tableColumns count="10">
    <tableColumn id="1" name="Column1" headerRowDxfId="12" dataDxfId="11"/>
    <tableColumn id="2" name="Column2" headerRowDxfId="10" dataDxfId="9" dataCellStyle="Comma"/>
    <tableColumn id="3" name="Column3" headerRowDxfId="8" dataDxfId="7" dataCellStyle="Comma"/>
    <tableColumn id="4" name="Column4" headerRowDxfId="6"/>
    <tableColumn id="5" name="Column5" headerRowDxfId="5"/>
    <tableColumn id="6" name="Column6" headerRowDxfId="4"/>
    <tableColumn id="7" name="Column7" headerRowDxfId="3"/>
    <tableColumn id="8" name="Column8" headerRowDxfId="2"/>
    <tableColumn id="9" name="Column9" headerRowDxfId="1"/>
    <tableColumn id="10" name="Column10" headerRowDxfId="0"/>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tabSelected="1" view="pageLayout" zoomScaleNormal="100" workbookViewId="0">
      <selection activeCell="B6" sqref="B6"/>
    </sheetView>
  </sheetViews>
  <sheetFormatPr defaultRowHeight="12.75"/>
  <cols>
    <col min="1" max="1" width="29.140625" customWidth="1"/>
    <col min="2" max="2" width="15.7109375" style="28" customWidth="1"/>
    <col min="3" max="3" width="16.7109375" style="28" customWidth="1"/>
    <col min="4" max="4" width="16.140625" style="28" customWidth="1"/>
    <col min="5" max="5" width="14.7109375" style="28" customWidth="1"/>
    <col min="6" max="6" width="15" style="28" customWidth="1"/>
  </cols>
  <sheetData>
    <row r="1" spans="1:6">
      <c r="B1"/>
      <c r="C1"/>
      <c r="D1"/>
      <c r="E1"/>
      <c r="F1"/>
    </row>
    <row r="2" spans="1:6" ht="15.75">
      <c r="A2" s="76"/>
      <c r="B2" s="72" t="s">
        <v>294</v>
      </c>
      <c r="C2" s="77" t="s">
        <v>295</v>
      </c>
      <c r="D2" s="77" t="s">
        <v>296</v>
      </c>
      <c r="E2" s="72" t="s">
        <v>297</v>
      </c>
      <c r="F2" s="77" t="s">
        <v>298</v>
      </c>
    </row>
    <row r="3" spans="1:6" ht="15.75">
      <c r="A3" s="76"/>
      <c r="B3" s="77"/>
      <c r="C3" s="77" t="s">
        <v>299</v>
      </c>
      <c r="D3" s="77" t="s">
        <v>300</v>
      </c>
      <c r="E3" s="77"/>
      <c r="F3" s="77" t="s">
        <v>301</v>
      </c>
    </row>
    <row r="4" spans="1:6" ht="15">
      <c r="A4" s="90" t="s">
        <v>362</v>
      </c>
      <c r="B4" s="73">
        <f>2800000</f>
        <v>2800000</v>
      </c>
      <c r="C4" s="73">
        <v>21330000</v>
      </c>
      <c r="D4" s="73">
        <v>2682000</v>
      </c>
      <c r="E4" s="73">
        <v>133255</v>
      </c>
      <c r="F4" s="73">
        <v>4019287</v>
      </c>
    </row>
    <row r="5" spans="1:6" ht="15">
      <c r="A5" s="90"/>
      <c r="B5" s="73"/>
      <c r="C5" s="73"/>
      <c r="D5" s="73"/>
      <c r="E5" s="73"/>
      <c r="F5" s="73"/>
    </row>
    <row r="6" spans="1:6" ht="15">
      <c r="A6" s="90" t="s">
        <v>302</v>
      </c>
      <c r="B6" s="73">
        <f>'SOURCE-USE'!D49</f>
        <v>25274523</v>
      </c>
      <c r="C6" s="73">
        <v>27043750</v>
      </c>
      <c r="D6" s="73">
        <v>2889201</v>
      </c>
      <c r="E6" s="73">
        <v>335600</v>
      </c>
      <c r="F6" s="73">
        <v>690000</v>
      </c>
    </row>
    <row r="7" spans="1:6" ht="15">
      <c r="A7" s="90"/>
      <c r="B7" s="73"/>
      <c r="C7" s="73"/>
      <c r="D7" s="73"/>
      <c r="E7" s="73"/>
      <c r="F7" s="73"/>
    </row>
    <row r="8" spans="1:6" ht="15">
      <c r="A8" s="90" t="s">
        <v>303</v>
      </c>
      <c r="B8" s="74">
        <f>-'SOURCE-USE'!D50</f>
        <v>25274523</v>
      </c>
      <c r="C8" s="74">
        <v>23045000</v>
      </c>
      <c r="D8" s="74">
        <v>4002402</v>
      </c>
      <c r="E8" s="74">
        <v>344100</v>
      </c>
      <c r="F8" s="74">
        <v>2000000</v>
      </c>
    </row>
    <row r="9" spans="1:6" ht="15">
      <c r="A9" s="90"/>
      <c r="B9" s="73"/>
      <c r="C9" s="73"/>
      <c r="D9" s="73"/>
      <c r="E9" s="73"/>
      <c r="F9" s="73"/>
    </row>
    <row r="10" spans="1:6" ht="15.75" thickBot="1">
      <c r="A10" s="91" t="s">
        <v>363</v>
      </c>
      <c r="B10" s="78">
        <f>B4+B6-B8</f>
        <v>2800000</v>
      </c>
      <c r="C10" s="78">
        <f>C4+C6-C8</f>
        <v>25328750</v>
      </c>
      <c r="D10" s="78">
        <f>D4+D6-D8</f>
        <v>1568799</v>
      </c>
      <c r="E10" s="78">
        <f>E4+E6-E8</f>
        <v>124755</v>
      </c>
      <c r="F10" s="78">
        <f>F4+F6-F8</f>
        <v>2709287</v>
      </c>
    </row>
    <row r="11" spans="1:6" ht="13.5" thickTop="1"/>
  </sheetData>
  <printOptions horizontalCentered="1" verticalCentered="1"/>
  <pageMargins left="0.7" right="0.7" top="0.75" bottom="0.75" header="0.3" footer="0.3"/>
  <pageSetup scale="86" orientation="portrait" r:id="rId1"/>
  <headerFooter>
    <oddHeader>&amp;C&amp;"Geneva,Bold"&amp;14 14-15 BUDGET SUMMARY FOR ALL FUNDS</oddHeader>
    <oddFooter>&amp;CPAGE 1</oddFooter>
  </headerFooter>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2.75"/>
  <sheetData/>
  <customSheetViews>
    <customSheetView guid="{1743B73C-DC30-4A18-8C09-04D85A5C0D60}" showRuler="0">
      <pageMargins left="0.75" right="0.75" top="1" bottom="1" header="0.5" footer="0.5"/>
      <printOptions gridLines="1"/>
      <headerFooter alignWithMargins="0">
        <oddHeader>&amp;A</oddHeader>
        <oddFooter>Page &amp;P</oddFooter>
      </headerFooter>
    </customSheetView>
  </customSheetViews>
  <phoneticPr fontId="0" type="noConversion"/>
  <printOptions gridLines="1" gridLinesSet="0"/>
  <pageMargins left="0.75" right="0.75" top="1" bottom="1" header="0.5" footer="0.5"/>
  <pageSetup orientation="portrait" verticalDpi="0" r:id="rId1"/>
  <headerFooter alignWithMargins="0">
    <oddHeader>&amp;A</oddHeader>
    <oddFoote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2.75"/>
  <sheetData/>
  <customSheetViews>
    <customSheetView guid="{1743B73C-DC30-4A18-8C09-04D85A5C0D60}" showRuler="0">
      <pageMargins left="0.75" right="0.75" top="1" bottom="1" header="0.5" footer="0.5"/>
      <printOptions gridLines="1"/>
      <headerFooter alignWithMargins="0">
        <oddHeader>&amp;A</oddHeader>
        <oddFooter>Page &amp;P</oddFooter>
      </headerFooter>
    </customSheetView>
  </customSheetViews>
  <phoneticPr fontId="0" type="noConversion"/>
  <printOptions gridLines="1" gridLinesSet="0"/>
  <pageMargins left="0.75" right="0.75" top="1" bottom="1" header="0.5" footer="0.5"/>
  <pageSetup orientation="portrait" verticalDpi="0"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95"/>
  <sheetViews>
    <sheetView view="pageBreakPreview" zoomScale="60" zoomScaleNormal="100" workbookViewId="0">
      <selection activeCell="C9" sqref="C9"/>
    </sheetView>
  </sheetViews>
  <sheetFormatPr defaultColWidth="11.42578125" defaultRowHeight="12.75"/>
  <cols>
    <col min="1" max="1" width="23.85546875" customWidth="1"/>
    <col min="2" max="5" width="31.140625" customWidth="1"/>
    <col min="6" max="6" width="46.28515625" customWidth="1"/>
    <col min="7" max="7" width="34.7109375" customWidth="1"/>
    <col min="8" max="8" width="17.140625" customWidth="1"/>
  </cols>
  <sheetData>
    <row r="2" spans="1:7" ht="44.25">
      <c r="A2" s="26" t="s">
        <v>451</v>
      </c>
      <c r="B2" s="11"/>
      <c r="C2" s="11"/>
      <c r="D2" s="11"/>
      <c r="E2" s="11"/>
      <c r="F2" s="11"/>
      <c r="G2" s="12"/>
    </row>
    <row r="3" spans="1:7" ht="23.25">
      <c r="A3" s="1"/>
      <c r="B3" s="1"/>
      <c r="C3" s="1"/>
      <c r="D3" s="1"/>
      <c r="E3" s="1"/>
      <c r="F3" s="1"/>
      <c r="G3" s="2"/>
    </row>
    <row r="4" spans="1:7" ht="23.25">
      <c r="A4" s="53" t="s">
        <v>146</v>
      </c>
      <c r="B4" s="1"/>
      <c r="C4" s="1"/>
      <c r="D4" s="1"/>
      <c r="E4" s="1"/>
      <c r="F4" s="1"/>
      <c r="G4" s="2"/>
    </row>
    <row r="5" spans="1:7" ht="23.25">
      <c r="B5" s="1" t="s">
        <v>145</v>
      </c>
      <c r="C5" s="1"/>
      <c r="D5" s="1"/>
      <c r="E5" s="1"/>
      <c r="F5" s="1"/>
      <c r="G5" s="2">
        <v>337000</v>
      </c>
    </row>
    <row r="6" spans="1:7" ht="23.25">
      <c r="A6" s="1"/>
      <c r="B6" s="1" t="s">
        <v>350</v>
      </c>
      <c r="C6" s="1"/>
      <c r="D6" s="1"/>
      <c r="E6" s="1"/>
      <c r="F6" s="1"/>
      <c r="G6" s="2"/>
    </row>
    <row r="7" spans="1:7" ht="23.25">
      <c r="A7" s="1"/>
      <c r="B7" s="1"/>
      <c r="C7" s="1" t="s">
        <v>377</v>
      </c>
      <c r="D7" s="1"/>
      <c r="E7" s="1"/>
      <c r="F7" s="1"/>
      <c r="G7" s="2">
        <v>301000</v>
      </c>
    </row>
    <row r="8" spans="1:7" ht="23.25">
      <c r="A8" s="1"/>
      <c r="B8" s="1"/>
      <c r="C8" s="1" t="s">
        <v>376</v>
      </c>
      <c r="D8" s="1"/>
      <c r="E8" s="1"/>
      <c r="F8" s="1"/>
      <c r="G8" s="2">
        <v>34000</v>
      </c>
    </row>
    <row r="9" spans="1:7" ht="23.25">
      <c r="A9" s="1"/>
      <c r="B9" s="1"/>
      <c r="C9" s="1" t="s">
        <v>378</v>
      </c>
      <c r="D9" s="1"/>
      <c r="E9" s="1"/>
      <c r="F9" s="1"/>
      <c r="G9" s="2">
        <v>78000</v>
      </c>
    </row>
    <row r="10" spans="1:7" ht="23.25">
      <c r="A10" s="1"/>
      <c r="B10" s="1" t="s">
        <v>380</v>
      </c>
      <c r="C10" s="1"/>
      <c r="D10" s="1"/>
      <c r="E10" s="1"/>
      <c r="F10" s="1"/>
      <c r="G10" s="2">
        <v>123000</v>
      </c>
    </row>
    <row r="11" spans="1:7" ht="23.25">
      <c r="A11" s="1"/>
      <c r="B11" s="1" t="s">
        <v>382</v>
      </c>
      <c r="C11" s="1"/>
      <c r="D11" s="1"/>
      <c r="E11" s="1"/>
      <c r="F11" s="1"/>
      <c r="G11" s="2">
        <v>187000</v>
      </c>
    </row>
    <row r="12" spans="1:7" ht="23.25">
      <c r="A12" s="1"/>
      <c r="B12" s="1" t="s">
        <v>379</v>
      </c>
      <c r="D12" s="1"/>
      <c r="E12" s="1"/>
      <c r="F12" s="1"/>
      <c r="G12" s="2">
        <v>46000</v>
      </c>
    </row>
    <row r="13" spans="1:7" s="95" customFormat="1" ht="23.25">
      <c r="A13" s="1"/>
      <c r="B13" s="1" t="s">
        <v>439</v>
      </c>
      <c r="C13"/>
      <c r="D13" s="1"/>
      <c r="E13" s="1"/>
      <c r="F13" s="1"/>
      <c r="G13" s="2">
        <v>125000</v>
      </c>
    </row>
    <row r="14" spans="1:7" ht="23.25">
      <c r="A14" s="1"/>
      <c r="B14" s="1" t="s">
        <v>440</v>
      </c>
      <c r="C14" s="95"/>
      <c r="D14" s="1"/>
      <c r="E14" s="1"/>
      <c r="F14" s="1"/>
      <c r="G14" s="2">
        <v>55000</v>
      </c>
    </row>
    <row r="15" spans="1:7" ht="23.25">
      <c r="A15" s="1"/>
      <c r="B15" s="1" t="s">
        <v>321</v>
      </c>
      <c r="C15" s="1"/>
      <c r="D15" s="1"/>
      <c r="E15" s="1"/>
      <c r="F15" s="1"/>
      <c r="G15" s="2">
        <v>40000</v>
      </c>
    </row>
    <row r="16" spans="1:7" ht="23.25">
      <c r="A16" s="1"/>
      <c r="B16" s="1" t="s">
        <v>349</v>
      </c>
      <c r="C16" s="1"/>
      <c r="D16" s="1"/>
      <c r="E16" s="1"/>
      <c r="F16" s="1"/>
      <c r="G16" s="2">
        <v>69000</v>
      </c>
    </row>
    <row r="17" spans="1:8" ht="23.25">
      <c r="A17" s="1"/>
      <c r="B17" s="1" t="s">
        <v>341</v>
      </c>
      <c r="C17" s="1"/>
      <c r="D17" s="1"/>
      <c r="E17" s="1"/>
      <c r="F17" s="1"/>
      <c r="G17" s="2">
        <v>541000</v>
      </c>
    </row>
    <row r="18" spans="1:8" s="95" customFormat="1" ht="23.25">
      <c r="A18" s="1"/>
      <c r="B18" s="1" t="s">
        <v>384</v>
      </c>
      <c r="C18" s="1"/>
      <c r="D18" s="1"/>
      <c r="E18" s="1"/>
      <c r="F18" s="1"/>
      <c r="G18" s="2">
        <v>66000</v>
      </c>
    </row>
    <row r="19" spans="1:8" ht="23.25">
      <c r="A19" s="1"/>
      <c r="B19" s="1" t="s">
        <v>441</v>
      </c>
      <c r="C19" s="1"/>
      <c r="D19" s="1"/>
      <c r="E19" s="1"/>
      <c r="F19" s="1"/>
      <c r="G19" s="2">
        <v>-50000</v>
      </c>
    </row>
    <row r="20" spans="1:8" ht="23.25">
      <c r="A20" s="1"/>
      <c r="B20" s="1" t="s">
        <v>383</v>
      </c>
      <c r="C20" s="1"/>
      <c r="D20" s="1"/>
      <c r="E20" s="1"/>
      <c r="F20" s="1"/>
      <c r="G20" s="2">
        <v>-4800</v>
      </c>
    </row>
    <row r="21" spans="1:8" ht="23.25">
      <c r="A21" s="1"/>
      <c r="B21" s="1" t="s">
        <v>385</v>
      </c>
      <c r="C21" s="1"/>
      <c r="D21" s="1"/>
      <c r="E21" s="1"/>
      <c r="F21" s="1"/>
      <c r="G21" s="2">
        <v>-254000</v>
      </c>
    </row>
    <row r="22" spans="1:8" ht="22.5" customHeight="1">
      <c r="A22" s="1"/>
      <c r="B22" s="1" t="s">
        <v>386</v>
      </c>
      <c r="C22" s="1"/>
      <c r="D22" s="1"/>
      <c r="E22" s="1"/>
      <c r="F22" s="1"/>
      <c r="G22" s="2">
        <v>-45000</v>
      </c>
    </row>
    <row r="23" spans="1:8" ht="24" customHeight="1">
      <c r="B23" s="1"/>
      <c r="G23" s="2">
        <f>SUM(G5:G22)</f>
        <v>1648200</v>
      </c>
    </row>
    <row r="24" spans="1:8" ht="24" customHeight="1">
      <c r="A24" s="53" t="s">
        <v>147</v>
      </c>
      <c r="H24" s="54"/>
    </row>
    <row r="25" spans="1:8" s="95" customFormat="1" ht="24" customHeight="1">
      <c r="A25" s="49"/>
      <c r="B25" s="50" t="s">
        <v>445</v>
      </c>
      <c r="C25" s="54"/>
      <c r="D25" s="54"/>
      <c r="E25" s="54"/>
      <c r="F25" s="54"/>
      <c r="G25" s="51">
        <v>700000</v>
      </c>
      <c r="H25" s="54"/>
    </row>
    <row r="26" spans="1:8" ht="24" customHeight="1">
      <c r="A26" s="49"/>
      <c r="B26" s="50" t="s">
        <v>449</v>
      </c>
      <c r="C26" s="54"/>
      <c r="D26" s="54"/>
      <c r="E26" s="54"/>
      <c r="F26" s="54"/>
      <c r="G26" s="51">
        <v>128000</v>
      </c>
      <c r="H26" s="54"/>
    </row>
    <row r="27" spans="1:8" ht="24" customHeight="1">
      <c r="A27" s="49"/>
      <c r="B27" s="87" t="s">
        <v>438</v>
      </c>
      <c r="C27" s="54"/>
      <c r="D27" s="54"/>
      <c r="E27" s="54"/>
      <c r="F27" s="54"/>
      <c r="G27" s="51">
        <v>50000</v>
      </c>
      <c r="H27" s="54"/>
    </row>
    <row r="28" spans="1:8" ht="24" customHeight="1">
      <c r="A28" s="49"/>
      <c r="B28" s="50" t="s">
        <v>355</v>
      </c>
      <c r="C28" s="54"/>
      <c r="D28" s="54"/>
      <c r="E28" s="54"/>
      <c r="F28" s="54"/>
      <c r="G28" s="51">
        <v>78000</v>
      </c>
      <c r="H28" s="54"/>
    </row>
    <row r="29" spans="1:8" s="95" customFormat="1" ht="24" customHeight="1">
      <c r="A29" s="49"/>
      <c r="B29" s="50" t="s">
        <v>446</v>
      </c>
      <c r="C29" s="54"/>
      <c r="D29" s="54"/>
      <c r="E29" s="54"/>
      <c r="F29" s="54"/>
      <c r="G29" s="51">
        <v>110000</v>
      </c>
      <c r="H29" s="54"/>
    </row>
    <row r="30" spans="1:8" s="95" customFormat="1" ht="24" customHeight="1">
      <c r="A30" s="49"/>
      <c r="B30" s="50" t="s">
        <v>442</v>
      </c>
      <c r="C30" s="54"/>
      <c r="D30" s="54"/>
      <c r="E30" s="54"/>
      <c r="F30" s="54"/>
      <c r="G30" s="51">
        <f>3000+4000-50000+55000+41000+82000+20000</f>
        <v>155000</v>
      </c>
      <c r="H30" s="54"/>
    </row>
    <row r="31" spans="1:8" ht="24" customHeight="1">
      <c r="A31" s="49"/>
      <c r="B31" s="50" t="s">
        <v>450</v>
      </c>
      <c r="C31" s="54"/>
      <c r="D31" s="54"/>
      <c r="E31" s="54"/>
      <c r="F31" s="54"/>
      <c r="G31" s="51">
        <v>250000</v>
      </c>
      <c r="H31" s="54"/>
    </row>
    <row r="32" spans="1:8" ht="24" customHeight="1">
      <c r="A32" s="49"/>
      <c r="B32" s="50" t="s">
        <v>443</v>
      </c>
      <c r="C32" s="54"/>
      <c r="D32" s="54"/>
      <c r="E32" s="54"/>
      <c r="F32" s="54"/>
      <c r="G32" s="51">
        <v>110000</v>
      </c>
      <c r="H32" s="54"/>
    </row>
    <row r="33" spans="1:21" ht="24" customHeight="1">
      <c r="A33" s="49"/>
      <c r="B33" s="50" t="s">
        <v>444</v>
      </c>
      <c r="C33" s="54"/>
      <c r="D33" s="54"/>
      <c r="E33" s="54"/>
      <c r="F33" s="54"/>
      <c r="G33" s="51">
        <v>12000</v>
      </c>
      <c r="H33" s="54"/>
    </row>
    <row r="34" spans="1:21" s="95" customFormat="1" ht="24" customHeight="1">
      <c r="A34" s="49"/>
      <c r="B34" s="50" t="s">
        <v>447</v>
      </c>
      <c r="C34" s="54"/>
      <c r="D34" s="54"/>
      <c r="E34" s="54"/>
      <c r="F34" s="54"/>
      <c r="G34" s="51">
        <v>57000</v>
      </c>
      <c r="H34" s="54"/>
    </row>
    <row r="35" spans="1:21" ht="29.45" customHeight="1">
      <c r="A35" s="49"/>
      <c r="B35" s="50" t="s">
        <v>448</v>
      </c>
      <c r="C35" s="54"/>
      <c r="D35" s="54"/>
      <c r="E35" s="54"/>
      <c r="F35" s="54"/>
      <c r="G35" s="51">
        <v>14000</v>
      </c>
      <c r="H35" s="1"/>
    </row>
    <row r="36" spans="1:21" ht="23.25">
      <c r="A36" s="1"/>
      <c r="B36" s="1"/>
      <c r="C36" s="1"/>
      <c r="D36" s="1"/>
      <c r="E36" s="1"/>
      <c r="F36" s="1"/>
      <c r="G36" s="2">
        <f>SUM(G25:G35)</f>
        <v>1664000</v>
      </c>
      <c r="H36" s="1"/>
    </row>
    <row r="37" spans="1:21" ht="23.25">
      <c r="A37" s="53" t="s">
        <v>288</v>
      </c>
      <c r="B37" s="1"/>
      <c r="C37" s="1"/>
      <c r="D37" s="1"/>
      <c r="E37" s="1"/>
      <c r="F37" s="1"/>
      <c r="G37" s="2"/>
      <c r="H37" s="1"/>
    </row>
    <row r="38" spans="1:21" ht="23.25">
      <c r="A38" s="1"/>
      <c r="B38" s="1" t="s">
        <v>381</v>
      </c>
      <c r="C38" s="1"/>
      <c r="D38" s="1"/>
      <c r="E38" s="1"/>
      <c r="F38" s="1"/>
      <c r="G38" s="15">
        <f>(2141-2119)/2119</f>
        <v>1.0382255781028787E-2</v>
      </c>
      <c r="H38" s="1"/>
    </row>
    <row r="39" spans="1:21" ht="23.25">
      <c r="A39" s="1"/>
      <c r="B39" s="85"/>
      <c r="C39" s="1"/>
      <c r="D39" s="1"/>
      <c r="E39" s="1"/>
      <c r="F39" s="1"/>
      <c r="G39" s="15"/>
      <c r="H39" s="1"/>
    </row>
    <row r="40" spans="1:21" ht="23.25">
      <c r="A40" s="1"/>
      <c r="B40" s="1" t="s">
        <v>354</v>
      </c>
      <c r="C40" s="1"/>
      <c r="D40" s="1"/>
      <c r="E40" s="1"/>
      <c r="F40" s="1"/>
      <c r="G40" s="15">
        <v>0.05</v>
      </c>
      <c r="H40" s="1"/>
      <c r="U40" s="1"/>
    </row>
    <row r="41" spans="1:21" ht="23.25">
      <c r="A41" s="1"/>
      <c r="B41" s="85"/>
      <c r="C41" s="1"/>
      <c r="D41" s="1"/>
      <c r="E41" s="1"/>
      <c r="F41" s="1"/>
      <c r="G41" s="1"/>
      <c r="H41" s="1"/>
      <c r="U41" s="1"/>
    </row>
    <row r="42" spans="1:21" ht="23.25">
      <c r="A42" s="53" t="s">
        <v>289</v>
      </c>
      <c r="B42" s="1"/>
      <c r="C42" s="1"/>
      <c r="D42" s="1"/>
      <c r="E42" s="1"/>
      <c r="F42" s="1"/>
      <c r="G42" s="2"/>
      <c r="H42" s="1"/>
      <c r="U42" s="1"/>
    </row>
    <row r="43" spans="1:21" ht="23.25">
      <c r="A43" s="1"/>
      <c r="B43" s="1" t="s">
        <v>322</v>
      </c>
      <c r="C43" s="1"/>
      <c r="D43" s="1"/>
      <c r="E43" s="1"/>
      <c r="F43" s="1"/>
      <c r="G43" s="37">
        <f>'FTE COMP'!D18</f>
        <v>4.921999999999997</v>
      </c>
      <c r="H43" s="1"/>
      <c r="U43" s="1"/>
    </row>
    <row r="44" spans="1:21" ht="23.25">
      <c r="A44" s="1"/>
      <c r="B44" s="1" t="s">
        <v>290</v>
      </c>
      <c r="C44" s="1"/>
      <c r="D44" s="1"/>
      <c r="E44" s="1"/>
      <c r="F44" s="1"/>
      <c r="G44" s="37">
        <f>'FTE COMP'!D40</f>
        <v>11.824000000000012</v>
      </c>
      <c r="H44" s="1"/>
    </row>
    <row r="45" spans="1:21" ht="23.25">
      <c r="A45" s="1"/>
      <c r="B45" s="1"/>
      <c r="C45" s="1"/>
      <c r="D45" s="1"/>
      <c r="E45" s="1"/>
      <c r="F45" s="1"/>
      <c r="G45" s="1"/>
      <c r="H45" s="1"/>
    </row>
    <row r="46" spans="1:21" ht="30">
      <c r="A46" s="53" t="s">
        <v>323</v>
      </c>
      <c r="B46" s="1"/>
      <c r="C46" s="1"/>
      <c r="D46" s="1"/>
      <c r="E46" s="1"/>
      <c r="F46" s="1"/>
      <c r="G46" s="2"/>
      <c r="H46" s="89"/>
    </row>
    <row r="47" spans="1:21" ht="23.25">
      <c r="A47" s="1"/>
      <c r="B47" s="1" t="s">
        <v>401</v>
      </c>
      <c r="C47" s="1"/>
      <c r="D47" s="1"/>
      <c r="E47" s="1"/>
      <c r="F47" s="1"/>
      <c r="G47" s="82">
        <f>460400-245856</f>
        <v>214544</v>
      </c>
      <c r="H47" s="1"/>
    </row>
    <row r="48" spans="1:21" ht="23.25">
      <c r="A48" s="1"/>
      <c r="B48" s="1" t="s">
        <v>402</v>
      </c>
      <c r="C48" s="1"/>
      <c r="D48" s="1"/>
      <c r="E48" s="1"/>
      <c r="F48" s="1"/>
      <c r="G48" s="82">
        <f>287750-264951</f>
        <v>22799</v>
      </c>
      <c r="H48" s="1"/>
    </row>
    <row r="49" spans="1:8" ht="23.25">
      <c r="A49" s="1"/>
      <c r="B49" s="1"/>
      <c r="C49" s="1"/>
      <c r="D49" s="1"/>
      <c r="E49" s="1"/>
      <c r="G49" s="2"/>
      <c r="H49" s="1"/>
    </row>
    <row r="50" spans="1:8" ht="23.25">
      <c r="A50" s="1"/>
      <c r="B50" s="1"/>
      <c r="C50" s="1"/>
      <c r="D50" s="1"/>
      <c r="E50" s="1"/>
      <c r="G50" s="2"/>
      <c r="H50" s="1"/>
    </row>
    <row r="51" spans="1:8" ht="23.25">
      <c r="A51" s="1"/>
      <c r="B51" s="1"/>
      <c r="C51" s="1"/>
      <c r="D51" s="1"/>
      <c r="E51" s="1"/>
      <c r="G51" s="2"/>
      <c r="H51" s="1"/>
    </row>
    <row r="52" spans="1:8" ht="23.25">
      <c r="A52" s="1"/>
      <c r="B52" s="1"/>
      <c r="C52" s="1"/>
      <c r="D52" s="1"/>
      <c r="E52" s="1"/>
      <c r="G52" s="2"/>
      <c r="H52" s="1"/>
    </row>
    <row r="53" spans="1:8" ht="23.25">
      <c r="A53" s="1"/>
      <c r="B53" s="1"/>
      <c r="C53" s="1"/>
      <c r="D53" s="1"/>
      <c r="E53" s="1"/>
      <c r="F53" s="1"/>
      <c r="G53" s="1"/>
      <c r="H53" s="1"/>
    </row>
    <row r="54" spans="1:8" ht="23.25">
      <c r="A54" s="1"/>
      <c r="B54" s="1"/>
      <c r="C54" s="1"/>
      <c r="D54" s="1"/>
      <c r="E54" s="1"/>
      <c r="F54" s="1"/>
      <c r="G54" s="2"/>
      <c r="H54" s="1"/>
    </row>
    <row r="55" spans="1:8" ht="23.25">
      <c r="A55" s="1"/>
      <c r="B55" s="1"/>
      <c r="C55" s="1"/>
      <c r="D55" s="1"/>
      <c r="E55" s="1"/>
      <c r="F55" s="1"/>
      <c r="G55" s="1"/>
      <c r="H55" s="1"/>
    </row>
    <row r="56" spans="1:8" ht="23.25">
      <c r="A56" s="1"/>
      <c r="B56" s="1"/>
      <c r="C56" s="1"/>
      <c r="D56" s="1"/>
      <c r="E56" s="1"/>
      <c r="F56" s="1"/>
      <c r="G56" s="2"/>
      <c r="H56" s="1"/>
    </row>
    <row r="57" spans="1:8" ht="23.25">
      <c r="A57" s="1"/>
      <c r="B57" s="1"/>
      <c r="C57" s="1"/>
      <c r="D57" s="1"/>
      <c r="E57" s="1"/>
      <c r="F57" s="1"/>
      <c r="G57" s="2"/>
      <c r="H57" s="1"/>
    </row>
    <row r="58" spans="1:8" ht="23.25">
      <c r="A58" s="1"/>
      <c r="B58" s="1"/>
      <c r="C58" s="1"/>
      <c r="D58" s="1"/>
      <c r="E58" s="1"/>
      <c r="F58" s="1"/>
      <c r="G58" s="2"/>
      <c r="H58" s="1"/>
    </row>
    <row r="59" spans="1:8" ht="23.25">
      <c r="A59" s="1"/>
      <c r="B59" s="1"/>
      <c r="C59" s="1"/>
      <c r="D59" s="1"/>
      <c r="E59" s="1"/>
      <c r="F59" s="1"/>
      <c r="G59" s="2"/>
      <c r="H59" s="1"/>
    </row>
    <row r="60" spans="1:8" ht="23.25">
      <c r="A60" s="1"/>
      <c r="B60" s="1"/>
      <c r="C60" s="1"/>
      <c r="D60" s="1"/>
      <c r="E60" s="1"/>
      <c r="F60" s="1"/>
      <c r="G60" s="2"/>
      <c r="H60" s="1"/>
    </row>
    <row r="61" spans="1:8" ht="30">
      <c r="A61" s="14"/>
      <c r="B61" s="48"/>
      <c r="C61" s="48"/>
      <c r="D61" s="48"/>
      <c r="E61" s="48"/>
      <c r="F61" s="48"/>
      <c r="G61" s="3"/>
      <c r="H61" s="48"/>
    </row>
    <row r="62" spans="1:8" ht="30">
      <c r="A62" s="49"/>
      <c r="B62" s="50"/>
      <c r="C62" s="50"/>
      <c r="D62" s="50"/>
      <c r="E62" s="50"/>
      <c r="F62" s="50"/>
      <c r="G62" s="51"/>
      <c r="H62" s="50"/>
    </row>
    <row r="63" spans="1:8" ht="23.25">
      <c r="A63" s="1"/>
      <c r="B63" s="1"/>
      <c r="C63" s="1"/>
      <c r="D63" s="1"/>
      <c r="E63" s="1"/>
      <c r="G63" s="13"/>
      <c r="H63" s="50"/>
    </row>
    <row r="64" spans="1:8" ht="23.25">
      <c r="A64" s="1"/>
      <c r="B64" s="1"/>
      <c r="C64" s="1"/>
      <c r="D64" s="1"/>
      <c r="E64" s="1"/>
      <c r="F64" s="1"/>
      <c r="G64" s="2"/>
      <c r="H64" s="1"/>
    </row>
    <row r="65" spans="1:8" ht="23.25">
      <c r="A65" s="1"/>
      <c r="B65" s="1"/>
      <c r="C65" s="1"/>
      <c r="D65" s="1"/>
      <c r="E65" s="1"/>
      <c r="F65" s="1"/>
      <c r="G65" s="37"/>
      <c r="H65" s="1"/>
    </row>
    <row r="66" spans="1:8" ht="23.25">
      <c r="A66" s="1"/>
      <c r="B66" s="38"/>
      <c r="C66" s="1"/>
      <c r="D66" s="1"/>
      <c r="E66" s="1"/>
      <c r="F66" s="1"/>
      <c r="G66" s="37"/>
      <c r="H66" s="1"/>
    </row>
    <row r="67" spans="1:8" ht="23.25">
      <c r="A67" s="1"/>
      <c r="B67" s="1"/>
      <c r="C67" s="1"/>
      <c r="D67" s="1"/>
      <c r="E67" s="1"/>
      <c r="F67" s="1"/>
      <c r="G67" s="2"/>
      <c r="H67" s="1"/>
    </row>
    <row r="68" spans="1:8" ht="23.25">
      <c r="A68" s="1"/>
      <c r="B68" s="1"/>
      <c r="C68" s="1"/>
      <c r="D68" s="1"/>
      <c r="E68" s="1"/>
      <c r="F68" s="1"/>
      <c r="G68" s="2"/>
      <c r="H68" s="1"/>
    </row>
    <row r="69" spans="1:8" ht="23.25">
      <c r="A69" s="1"/>
      <c r="B69" s="1"/>
      <c r="C69" s="1"/>
      <c r="D69" s="1"/>
      <c r="E69" s="1"/>
      <c r="F69" s="1"/>
      <c r="G69" s="2"/>
      <c r="H69" s="1"/>
    </row>
    <row r="70" spans="1:8" ht="23.25">
      <c r="A70" s="1"/>
      <c r="B70" s="1"/>
      <c r="C70" s="1"/>
      <c r="D70" s="1"/>
      <c r="E70" s="1"/>
      <c r="F70" s="1"/>
      <c r="G70" s="2"/>
      <c r="H70" s="1"/>
    </row>
    <row r="71" spans="1:8" ht="23.25">
      <c r="A71" s="1"/>
      <c r="B71" s="1"/>
      <c r="C71" s="1"/>
      <c r="D71" s="1"/>
      <c r="E71" s="1"/>
      <c r="F71" s="1"/>
      <c r="G71" s="2"/>
      <c r="H71" s="1"/>
    </row>
    <row r="72" spans="1:8" ht="23.25">
      <c r="A72" s="1"/>
      <c r="B72" s="1"/>
      <c r="C72" s="1"/>
      <c r="D72" s="1"/>
      <c r="E72" s="1"/>
      <c r="F72" s="1"/>
      <c r="G72" s="31"/>
      <c r="H72" s="1"/>
    </row>
    <row r="73" spans="1:8" ht="23.25">
      <c r="A73" s="1"/>
      <c r="B73" s="1"/>
      <c r="C73" s="1"/>
      <c r="D73" s="1"/>
      <c r="E73" s="1"/>
      <c r="F73" s="1"/>
      <c r="G73" s="2"/>
      <c r="H73" s="1"/>
    </row>
    <row r="74" spans="1:8" ht="23.25">
      <c r="A74" s="1"/>
      <c r="B74" s="1"/>
      <c r="C74" s="1"/>
      <c r="D74" s="1"/>
      <c r="E74" s="1"/>
      <c r="G74" s="13"/>
      <c r="H74" s="1"/>
    </row>
    <row r="75" spans="1:8" ht="23.25">
      <c r="A75" s="1"/>
      <c r="B75" s="1"/>
      <c r="C75" s="1"/>
      <c r="D75" s="1"/>
      <c r="E75" s="1"/>
      <c r="G75" s="1"/>
      <c r="H75" s="1"/>
    </row>
    <row r="76" spans="1:8" ht="17.25" customHeight="1">
      <c r="A76" s="1"/>
      <c r="D76" s="32"/>
      <c r="G76" s="30"/>
      <c r="H76" s="1"/>
    </row>
    <row r="77" spans="1:8" ht="17.25" customHeight="1">
      <c r="A77" s="1"/>
      <c r="D77" s="32"/>
      <c r="G77" s="30"/>
      <c r="H77" s="1"/>
    </row>
    <row r="78" spans="1:8" ht="17.25" customHeight="1">
      <c r="A78" s="1"/>
      <c r="D78" s="32"/>
      <c r="G78" s="30"/>
      <c r="H78" s="1"/>
    </row>
    <row r="79" spans="1:8" ht="17.25" customHeight="1">
      <c r="A79" s="1"/>
      <c r="D79" s="32"/>
      <c r="G79" s="30"/>
      <c r="H79" s="1"/>
    </row>
    <row r="80" spans="1:8" ht="17.25" customHeight="1">
      <c r="A80" s="1"/>
      <c r="D80" s="32"/>
      <c r="G80" s="30"/>
      <c r="H80" s="1"/>
    </row>
    <row r="81" spans="1:8" ht="17.25" customHeight="1">
      <c r="A81" s="1"/>
      <c r="D81" s="32"/>
      <c r="G81" s="30"/>
      <c r="H81" s="1"/>
    </row>
    <row r="82" spans="1:8" ht="17.25" customHeight="1">
      <c r="A82" s="1"/>
      <c r="D82" s="32"/>
      <c r="G82" s="30"/>
      <c r="H82" s="1"/>
    </row>
    <row r="83" spans="1:8" ht="17.25" customHeight="1">
      <c r="A83" s="1"/>
      <c r="D83" s="32"/>
      <c r="G83" s="30"/>
      <c r="H83" s="1"/>
    </row>
    <row r="84" spans="1:8" ht="17.25" customHeight="1">
      <c r="A84" s="1"/>
      <c r="D84" s="32"/>
      <c r="G84" s="30"/>
      <c r="H84" s="1"/>
    </row>
    <row r="85" spans="1:8" ht="17.25" customHeight="1">
      <c r="A85" s="1"/>
      <c r="B85" s="1"/>
      <c r="C85" s="1"/>
      <c r="D85" s="33"/>
      <c r="E85" s="1"/>
      <c r="G85" s="1"/>
      <c r="H85" s="1"/>
    </row>
    <row r="86" spans="1:8" ht="23.25">
      <c r="A86" s="1"/>
      <c r="B86" s="1"/>
      <c r="C86" s="1"/>
      <c r="D86" s="1"/>
      <c r="E86" s="1"/>
      <c r="G86" s="31"/>
      <c r="H86" s="1"/>
    </row>
    <row r="87" spans="1:8" ht="17.25" customHeight="1">
      <c r="A87" s="1"/>
      <c r="B87" s="34"/>
      <c r="C87" s="34"/>
      <c r="D87" s="35"/>
      <c r="E87" s="1"/>
      <c r="G87" s="31"/>
      <c r="H87" s="1"/>
    </row>
    <row r="88" spans="1:8" ht="17.25" customHeight="1">
      <c r="A88" s="1"/>
      <c r="B88" s="34"/>
      <c r="C88" s="34"/>
      <c r="D88" s="35"/>
      <c r="E88" s="1"/>
      <c r="G88" s="31"/>
      <c r="H88" s="1"/>
    </row>
    <row r="89" spans="1:8" ht="17.25" customHeight="1">
      <c r="A89" s="1"/>
      <c r="B89" s="34"/>
      <c r="C89" s="34"/>
      <c r="D89" s="35"/>
      <c r="E89" s="1"/>
      <c r="G89" s="31"/>
      <c r="H89" s="1"/>
    </row>
    <row r="90" spans="1:8" ht="17.25" customHeight="1">
      <c r="A90" s="1"/>
      <c r="B90" s="34"/>
      <c r="C90" s="34"/>
      <c r="D90" s="35"/>
      <c r="E90" s="1"/>
      <c r="G90" s="31"/>
      <c r="H90" s="1"/>
    </row>
    <row r="91" spans="1:8" ht="17.25" customHeight="1">
      <c r="A91" s="1"/>
      <c r="B91" s="34"/>
      <c r="C91" s="34"/>
      <c r="D91" s="35"/>
      <c r="E91" s="1"/>
      <c r="G91" s="31"/>
      <c r="H91" s="1"/>
    </row>
    <row r="92" spans="1:8" ht="17.25" customHeight="1">
      <c r="A92" s="1"/>
      <c r="B92" s="34"/>
      <c r="C92" s="34"/>
      <c r="D92" s="35"/>
      <c r="E92" s="1"/>
      <c r="G92" s="31"/>
      <c r="H92" s="1"/>
    </row>
    <row r="93" spans="1:8" ht="17.25" customHeight="1">
      <c r="A93" s="1"/>
      <c r="B93" s="34"/>
      <c r="C93" s="34"/>
      <c r="D93" s="35"/>
      <c r="E93" s="1"/>
      <c r="G93" s="31"/>
      <c r="H93" s="1"/>
    </row>
    <row r="94" spans="1:8" ht="17.25" customHeight="1">
      <c r="A94" s="1"/>
      <c r="B94" s="34"/>
      <c r="C94" s="34"/>
      <c r="D94" s="36"/>
      <c r="E94" s="1"/>
      <c r="G94" s="31"/>
      <c r="H94" s="1"/>
    </row>
    <row r="95" spans="1:8" ht="17.25" customHeight="1">
      <c r="A95" s="1"/>
      <c r="B95" s="34"/>
      <c r="C95" s="34"/>
      <c r="D95" s="34"/>
      <c r="E95" s="1"/>
      <c r="F95" s="1"/>
      <c r="G95" s="1"/>
      <c r="H95" s="1"/>
    </row>
  </sheetData>
  <customSheetViews>
    <customSheetView guid="{1743B73C-DC30-4A18-8C09-04D85A5C0D60}" scale="60" showPageBreaks="1" printArea="1" view="pageBreakPreview" showRuler="0">
      <selection activeCell="F8" sqref="F8"/>
      <rowBreaks count="1" manualBreakCount="1">
        <brk id="36" max="8" man="1"/>
      </rowBreaks>
      <pageMargins left="0.75" right="0.75" top="1" bottom="1" header="0.5" footer="0.5"/>
      <printOptions gridLines="1"/>
      <pageSetup scale="69" fitToHeight="2" orientation="portrait" horizontalDpi="4294967292" verticalDpi="4294967292" r:id="rId1"/>
      <headerFooter alignWithMargins="0"/>
    </customSheetView>
  </customSheetViews>
  <phoneticPr fontId="0" type="noConversion"/>
  <pageMargins left="0.7" right="0.7" top="0.75" bottom="0.75" header="0.3" footer="0.3"/>
  <pageSetup scale="40" orientation="portrait" verticalDpi="4294967292" r:id="rId2"/>
  <headerFooter>
    <oddHeader xml:space="preserve">&amp;C&amp;"Geneva,Bold"&amp;14 </oddHeader>
    <oddFooter>&amp;CPAGE 2</oddFooter>
  </headerFooter>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zoomScaleNormal="100" workbookViewId="0">
      <selection activeCell="A8" sqref="A8"/>
    </sheetView>
  </sheetViews>
  <sheetFormatPr defaultColWidth="11.42578125" defaultRowHeight="12.75"/>
  <cols>
    <col min="1" max="1" width="17.7109375" bestFit="1" customWidth="1"/>
    <col min="2" max="2" width="15" hidden="1" customWidth="1"/>
    <col min="3" max="3" width="16.42578125" hidden="1" customWidth="1"/>
    <col min="4" max="4" width="14.42578125" customWidth="1"/>
    <col min="5" max="6" width="14.28515625" customWidth="1"/>
    <col min="7" max="7" width="15.28515625" customWidth="1"/>
    <col min="8" max="8" width="15" customWidth="1"/>
    <col min="9" max="9" width="14.28515625" customWidth="1"/>
    <col min="10" max="10" width="15.7109375" customWidth="1"/>
  </cols>
  <sheetData>
    <row r="1" spans="1:11" s="95" customFormat="1"/>
    <row r="2" spans="1:11" s="95" customFormat="1"/>
    <row r="3" spans="1:11" ht="20.25">
      <c r="F3" s="69" t="s">
        <v>452</v>
      </c>
    </row>
    <row r="6" spans="1:11" ht="18">
      <c r="A6" s="40" t="s">
        <v>114</v>
      </c>
      <c r="B6" s="42" t="s">
        <v>69</v>
      </c>
      <c r="C6" s="42" t="s">
        <v>112</v>
      </c>
      <c r="D6" s="42" t="s">
        <v>142</v>
      </c>
      <c r="E6" s="42" t="s">
        <v>274</v>
      </c>
      <c r="F6" s="42" t="s">
        <v>292</v>
      </c>
      <c r="G6" s="41" t="s">
        <v>315</v>
      </c>
      <c r="H6" s="41" t="s">
        <v>329</v>
      </c>
      <c r="I6" s="41" t="s">
        <v>346</v>
      </c>
      <c r="J6" s="41" t="s">
        <v>364</v>
      </c>
    </row>
    <row r="7" spans="1:11" ht="18">
      <c r="A7" s="40" t="s">
        <v>455</v>
      </c>
      <c r="B7" s="40" t="s">
        <v>131</v>
      </c>
      <c r="C7" s="40" t="s">
        <v>131</v>
      </c>
      <c r="D7" s="40" t="s">
        <v>131</v>
      </c>
      <c r="E7" s="40" t="s">
        <v>131</v>
      </c>
      <c r="F7" s="40" t="s">
        <v>131</v>
      </c>
      <c r="G7" s="40" t="s">
        <v>333</v>
      </c>
      <c r="H7" s="40" t="s">
        <v>333</v>
      </c>
      <c r="I7" s="40" t="s">
        <v>333</v>
      </c>
      <c r="J7" s="40" t="s">
        <v>113</v>
      </c>
    </row>
    <row r="8" spans="1:11" ht="18">
      <c r="A8" s="38"/>
      <c r="B8" s="38"/>
      <c r="C8" s="38"/>
      <c r="K8" s="70"/>
    </row>
    <row r="9" spans="1:11" ht="18">
      <c r="A9" s="38" t="s">
        <v>115</v>
      </c>
      <c r="B9" s="39">
        <v>67.5</v>
      </c>
      <c r="C9" s="39">
        <v>71.5</v>
      </c>
      <c r="D9" s="39">
        <v>76.5</v>
      </c>
      <c r="E9" s="39">
        <v>68.5</v>
      </c>
      <c r="F9" s="39">
        <v>78</v>
      </c>
      <c r="G9" s="39">
        <v>69.5</v>
      </c>
      <c r="H9" s="39">
        <v>89</v>
      </c>
      <c r="I9" s="39">
        <v>154.5</v>
      </c>
      <c r="J9" s="39">
        <v>159</v>
      </c>
      <c r="K9" s="70"/>
    </row>
    <row r="10" spans="1:11" ht="18">
      <c r="A10" s="38"/>
      <c r="B10" s="39"/>
      <c r="C10" s="39"/>
      <c r="K10" s="70"/>
    </row>
    <row r="11" spans="1:11" ht="18">
      <c r="A11" s="38" t="s">
        <v>116</v>
      </c>
      <c r="B11" s="39">
        <v>159.77000000000001</v>
      </c>
      <c r="C11" s="39">
        <v>141</v>
      </c>
      <c r="D11" s="39">
        <v>186</v>
      </c>
      <c r="E11" s="39">
        <v>138</v>
      </c>
      <c r="F11" s="39">
        <v>153</v>
      </c>
      <c r="G11" s="39">
        <v>172</v>
      </c>
      <c r="H11" s="39">
        <v>137</v>
      </c>
      <c r="I11" s="39">
        <v>181</v>
      </c>
      <c r="J11" s="39">
        <v>157</v>
      </c>
      <c r="K11" s="70"/>
    </row>
    <row r="12" spans="1:11" ht="18">
      <c r="A12" s="38"/>
      <c r="B12" s="39"/>
      <c r="C12" s="39"/>
      <c r="K12" s="70"/>
    </row>
    <row r="13" spans="1:11" ht="18">
      <c r="A13" s="38" t="s">
        <v>117</v>
      </c>
      <c r="B13" s="39">
        <v>154.77000000000001</v>
      </c>
      <c r="C13" s="39">
        <v>154</v>
      </c>
      <c r="D13" s="39">
        <v>143.15</v>
      </c>
      <c r="E13" s="39">
        <v>179</v>
      </c>
      <c r="F13" s="39">
        <v>144</v>
      </c>
      <c r="G13" s="39">
        <v>151</v>
      </c>
      <c r="H13" s="39">
        <v>177</v>
      </c>
      <c r="I13" s="39">
        <v>150</v>
      </c>
      <c r="J13" s="39">
        <v>182</v>
      </c>
      <c r="K13" s="70"/>
    </row>
    <row r="14" spans="1:11" ht="18">
      <c r="A14" s="38"/>
      <c r="B14" s="39"/>
      <c r="C14" s="39"/>
      <c r="K14" s="70"/>
    </row>
    <row r="15" spans="1:11" ht="18">
      <c r="A15" s="38" t="s">
        <v>118</v>
      </c>
      <c r="B15" s="39">
        <v>172</v>
      </c>
      <c r="C15" s="39">
        <v>164</v>
      </c>
      <c r="D15" s="39">
        <v>147</v>
      </c>
      <c r="E15" s="39">
        <v>138</v>
      </c>
      <c r="F15" s="39">
        <v>175</v>
      </c>
      <c r="G15" s="39">
        <v>161</v>
      </c>
      <c r="H15" s="39">
        <v>157</v>
      </c>
      <c r="I15" s="39">
        <v>181</v>
      </c>
      <c r="J15" s="39">
        <v>148</v>
      </c>
      <c r="K15" s="70"/>
    </row>
    <row r="16" spans="1:11" ht="18">
      <c r="A16" s="38"/>
      <c r="B16" s="39"/>
      <c r="C16" s="39"/>
      <c r="K16" s="71"/>
    </row>
    <row r="17" spans="1:11" ht="18">
      <c r="A17" s="38" t="s">
        <v>119</v>
      </c>
      <c r="B17" s="39">
        <v>159.13999999999999</v>
      </c>
      <c r="C17" s="39">
        <v>168</v>
      </c>
      <c r="D17" s="39">
        <v>162</v>
      </c>
      <c r="E17" s="39">
        <v>144</v>
      </c>
      <c r="F17" s="39">
        <v>154</v>
      </c>
      <c r="G17" s="39">
        <v>179</v>
      </c>
      <c r="H17" s="39">
        <v>165</v>
      </c>
      <c r="I17" s="39">
        <v>169.6</v>
      </c>
      <c r="J17" s="39">
        <v>180</v>
      </c>
      <c r="K17" s="71"/>
    </row>
    <row r="18" spans="1:11" ht="18">
      <c r="A18" s="38"/>
      <c r="B18" s="39"/>
      <c r="C18" s="39"/>
      <c r="K18" s="71"/>
    </row>
    <row r="19" spans="1:11" ht="18">
      <c r="A19" s="38" t="s">
        <v>120</v>
      </c>
      <c r="B19" s="39">
        <v>169</v>
      </c>
      <c r="C19" s="39">
        <v>163</v>
      </c>
      <c r="D19" s="39">
        <v>167</v>
      </c>
      <c r="E19" s="39">
        <v>155</v>
      </c>
      <c r="F19" s="39">
        <v>153</v>
      </c>
      <c r="G19" s="39">
        <v>147</v>
      </c>
      <c r="H19" s="39">
        <v>171</v>
      </c>
      <c r="I19" s="39">
        <v>174.6</v>
      </c>
      <c r="J19" s="39">
        <v>166</v>
      </c>
      <c r="K19" s="71"/>
    </row>
    <row r="20" spans="1:11" ht="18">
      <c r="A20" s="38"/>
      <c r="B20" s="39"/>
      <c r="C20" s="39"/>
      <c r="K20" s="71"/>
    </row>
    <row r="21" spans="1:11" ht="18">
      <c r="A21" s="38" t="s">
        <v>121</v>
      </c>
      <c r="B21" s="39">
        <v>176.65</v>
      </c>
      <c r="C21" s="39">
        <v>179</v>
      </c>
      <c r="D21" s="39">
        <v>169.15</v>
      </c>
      <c r="E21" s="39">
        <v>160</v>
      </c>
      <c r="F21" s="39">
        <v>156.16</v>
      </c>
      <c r="G21" s="39">
        <v>158</v>
      </c>
      <c r="H21" s="39">
        <v>154</v>
      </c>
      <c r="I21" s="39">
        <v>177</v>
      </c>
      <c r="J21" s="39">
        <v>178</v>
      </c>
    </row>
    <row r="22" spans="1:11" ht="18">
      <c r="A22" s="38"/>
      <c r="B22" s="39"/>
      <c r="C22" s="39"/>
    </row>
    <row r="23" spans="1:11" ht="18">
      <c r="A23" s="38" t="s">
        <v>122</v>
      </c>
      <c r="B23" s="39">
        <v>171.16</v>
      </c>
      <c r="C23" s="39">
        <v>174.5</v>
      </c>
      <c r="D23" s="39">
        <v>166.12</v>
      </c>
      <c r="E23" s="39">
        <v>178.5</v>
      </c>
      <c r="F23" s="39">
        <v>162.19999999999999</v>
      </c>
      <c r="G23" s="39">
        <v>162.79</v>
      </c>
      <c r="H23" s="39">
        <v>155</v>
      </c>
      <c r="I23" s="39">
        <v>166.6</v>
      </c>
      <c r="J23" s="39">
        <v>175</v>
      </c>
    </row>
    <row r="24" spans="1:11" ht="18">
      <c r="A24" s="38"/>
      <c r="B24" s="39"/>
      <c r="C24" s="39"/>
    </row>
    <row r="25" spans="1:11" ht="18">
      <c r="A25" s="38" t="s">
        <v>123</v>
      </c>
      <c r="B25" s="39">
        <v>182.65</v>
      </c>
      <c r="C25" s="39">
        <v>173</v>
      </c>
      <c r="D25" s="39">
        <v>182.98</v>
      </c>
      <c r="E25" s="39">
        <v>168.17</v>
      </c>
      <c r="F25" s="39">
        <v>179</v>
      </c>
      <c r="G25" s="39">
        <v>167.5</v>
      </c>
      <c r="H25" s="39">
        <v>168.2</v>
      </c>
      <c r="I25" s="39">
        <v>157.88</v>
      </c>
      <c r="J25" s="39">
        <v>160</v>
      </c>
    </row>
    <row r="26" spans="1:11" ht="18">
      <c r="A26" s="38"/>
      <c r="B26" s="39"/>
      <c r="C26" s="39"/>
    </row>
    <row r="27" spans="1:11" ht="18">
      <c r="A27" s="38" t="s">
        <v>124</v>
      </c>
      <c r="B27" s="39">
        <v>195.41</v>
      </c>
      <c r="C27" s="39">
        <v>190</v>
      </c>
      <c r="D27" s="39">
        <v>187.03</v>
      </c>
      <c r="E27" s="39">
        <v>190.42</v>
      </c>
      <c r="F27" s="39">
        <v>176.36</v>
      </c>
      <c r="G27" s="39">
        <v>193</v>
      </c>
      <c r="H27" s="39">
        <v>194.8</v>
      </c>
      <c r="I27" s="39">
        <v>179.8</v>
      </c>
      <c r="J27" s="39">
        <v>166</v>
      </c>
    </row>
    <row r="28" spans="1:11" ht="18">
      <c r="A28" s="38"/>
      <c r="B28" s="39"/>
      <c r="C28" s="39"/>
    </row>
    <row r="29" spans="1:11" ht="18">
      <c r="A29" s="38" t="s">
        <v>125</v>
      </c>
      <c r="B29" s="39">
        <v>191.41</v>
      </c>
      <c r="C29" s="39">
        <v>218</v>
      </c>
      <c r="D29" s="39">
        <v>177.81</v>
      </c>
      <c r="E29" s="39">
        <v>181.19</v>
      </c>
      <c r="F29" s="39">
        <v>185</v>
      </c>
      <c r="G29" s="39">
        <v>174.4</v>
      </c>
      <c r="H29" s="39">
        <v>183.8</v>
      </c>
      <c r="I29" s="39">
        <v>175.2</v>
      </c>
      <c r="J29" s="39">
        <v>181</v>
      </c>
    </row>
    <row r="30" spans="1:11" ht="18">
      <c r="A30" s="38"/>
      <c r="B30" s="39"/>
      <c r="C30" s="39"/>
    </row>
    <row r="31" spans="1:11" ht="18">
      <c r="A31" s="38" t="s">
        <v>126</v>
      </c>
      <c r="B31" s="39">
        <v>141.24</v>
      </c>
      <c r="C31" s="39">
        <v>141.5</v>
      </c>
      <c r="D31" s="39">
        <v>142.85</v>
      </c>
      <c r="E31" s="39">
        <v>139.08000000000001</v>
      </c>
      <c r="F31" s="39">
        <v>137.6</v>
      </c>
      <c r="G31" s="39">
        <v>118.95</v>
      </c>
      <c r="H31" s="39">
        <v>141</v>
      </c>
      <c r="I31" s="39">
        <v>161.1</v>
      </c>
      <c r="J31" s="39">
        <v>143</v>
      </c>
    </row>
    <row r="32" spans="1:11" ht="18">
      <c r="A32" s="38"/>
      <c r="B32" s="39"/>
      <c r="C32" s="39"/>
    </row>
    <row r="33" spans="1:10" ht="18">
      <c r="A33" s="38" t="s">
        <v>127</v>
      </c>
      <c r="B33" s="39">
        <v>116.05</v>
      </c>
      <c r="C33" s="39">
        <v>118.5</v>
      </c>
      <c r="D33" s="39">
        <v>173.04</v>
      </c>
      <c r="E33" s="39">
        <v>142.74</v>
      </c>
      <c r="F33" s="39">
        <v>140.94999999999999</v>
      </c>
      <c r="G33" s="39">
        <v>134.65</v>
      </c>
      <c r="H33" s="39">
        <v>133.44999999999999</v>
      </c>
      <c r="I33" s="39">
        <v>155.55000000000001</v>
      </c>
      <c r="J33" s="39">
        <v>146</v>
      </c>
    </row>
    <row r="34" spans="1:10" ht="18">
      <c r="A34" s="38"/>
      <c r="B34" s="39"/>
      <c r="C34" s="39"/>
    </row>
    <row r="35" spans="1:10" ht="18">
      <c r="A35" s="38" t="s">
        <v>129</v>
      </c>
      <c r="B35" s="39">
        <f t="shared" ref="B35:C35" si="0">SUM(B9:B33)</f>
        <v>2056.7500000000005</v>
      </c>
      <c r="C35" s="39">
        <f t="shared" si="0"/>
        <v>2056</v>
      </c>
      <c r="D35" s="52">
        <f t="shared" ref="D35:I35" si="1">SUM(D9:D33)</f>
        <v>2080.63</v>
      </c>
      <c r="E35" s="52">
        <f t="shared" si="1"/>
        <v>1982.6000000000001</v>
      </c>
      <c r="F35" s="52">
        <f t="shared" si="1"/>
        <v>1994.2699999999998</v>
      </c>
      <c r="G35" s="52">
        <f t="shared" si="1"/>
        <v>1988.7900000000002</v>
      </c>
      <c r="H35" s="52">
        <f t="shared" si="1"/>
        <v>2026.25</v>
      </c>
      <c r="I35" s="52">
        <f t="shared" si="1"/>
        <v>2183.83</v>
      </c>
      <c r="J35" s="52">
        <f t="shared" ref="J35" si="2">SUM(J9:J33)</f>
        <v>2141</v>
      </c>
    </row>
    <row r="36" spans="1:10" ht="18">
      <c r="A36" s="38"/>
      <c r="B36" s="39"/>
      <c r="C36" s="39"/>
    </row>
    <row r="37" spans="1:10" ht="18">
      <c r="A37" s="38" t="s">
        <v>128</v>
      </c>
      <c r="B37" s="39">
        <f>16.63+3.3</f>
        <v>19.93</v>
      </c>
      <c r="C37" s="39">
        <v>26.07</v>
      </c>
      <c r="D37" s="39">
        <v>39.130000000000003</v>
      </c>
      <c r="E37" s="39">
        <f>27.84+4.7</f>
        <v>32.54</v>
      </c>
      <c r="F37" s="39">
        <f>27.6+4.5</f>
        <v>32.1</v>
      </c>
      <c r="G37" s="39">
        <v>40.799999999999997</v>
      </c>
      <c r="H37" s="39">
        <v>40</v>
      </c>
      <c r="I37" s="39">
        <f>41.87+3.83</f>
        <v>45.699999999999996</v>
      </c>
      <c r="J37" s="39">
        <v>43</v>
      </c>
    </row>
    <row r="38" spans="1:10" ht="18">
      <c r="A38" s="38"/>
      <c r="B38" s="39"/>
      <c r="C38" s="39"/>
    </row>
    <row r="39" spans="1:10" ht="18">
      <c r="A39" s="38" t="s">
        <v>130</v>
      </c>
      <c r="B39" s="39">
        <f t="shared" ref="B39:C39" si="3">B35+B37</f>
        <v>2076.6800000000003</v>
      </c>
      <c r="C39" s="39">
        <f t="shared" si="3"/>
        <v>2082.0700000000002</v>
      </c>
      <c r="D39" s="39">
        <f t="shared" ref="D39:H39" si="4">D35+D37</f>
        <v>2119.7600000000002</v>
      </c>
      <c r="E39" s="39">
        <f t="shared" si="4"/>
        <v>2015.14</v>
      </c>
      <c r="F39" s="39">
        <f t="shared" si="4"/>
        <v>2026.3699999999997</v>
      </c>
      <c r="G39" s="39">
        <f t="shared" si="4"/>
        <v>2029.5900000000001</v>
      </c>
      <c r="H39" s="39">
        <f t="shared" si="4"/>
        <v>2066.25</v>
      </c>
      <c r="I39" s="39">
        <f t="shared" ref="I39:J39" si="5">I35+I37</f>
        <v>2229.5299999999997</v>
      </c>
      <c r="J39" s="39">
        <f t="shared" si="5"/>
        <v>2184</v>
      </c>
    </row>
    <row r="40" spans="1:10">
      <c r="A40" s="25"/>
    </row>
    <row r="41" spans="1:10">
      <c r="A41" s="25"/>
    </row>
  </sheetData>
  <customSheetViews>
    <customSheetView guid="{1743B73C-DC30-4A18-8C09-04D85A5C0D60}" showRuler="0">
      <pageMargins left="0.75" right="0.75" top="1" bottom="1" header="0.5" footer="0.5"/>
      <printOptions gridLines="1"/>
      <headerFooter alignWithMargins="0">
        <oddHeader>&amp;A</oddHeader>
        <oddFooter>Page &amp;P</oddFooter>
      </headerFooter>
    </customSheetView>
  </customSheetViews>
  <phoneticPr fontId="0" type="noConversion"/>
  <pageMargins left="0.7" right="0.7" top="0.75" bottom="0.75" header="0.3" footer="0.3"/>
  <pageSetup scale="76" orientation="portrait" verticalDpi="1200" r:id="rId1"/>
  <headerFooter>
    <oddHeader>&amp;C&amp;"Geneva,Bold"&amp;14 14-15 BUDGET SUMMARY</oddHeader>
    <oddFooter>&amp;CPAGE 3</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zoomScaleNormal="100" workbookViewId="0">
      <selection activeCell="A9" sqref="A9"/>
    </sheetView>
  </sheetViews>
  <sheetFormatPr defaultColWidth="11.42578125" defaultRowHeight="12.75"/>
  <cols>
    <col min="1" max="1" width="33" customWidth="1"/>
    <col min="3" max="3" width="14.28515625" customWidth="1"/>
    <col min="4" max="4" width="14.85546875" customWidth="1"/>
    <col min="5" max="5" width="12.5703125" customWidth="1"/>
  </cols>
  <sheetData>
    <row r="1" spans="1:5" ht="20.25">
      <c r="A1" s="69" t="s">
        <v>365</v>
      </c>
      <c r="B1" s="95"/>
      <c r="C1" s="95"/>
      <c r="D1" s="95"/>
      <c r="E1" s="95"/>
    </row>
    <row r="3" spans="1:5">
      <c r="A3" s="97" t="s">
        <v>293</v>
      </c>
      <c r="B3" s="95"/>
      <c r="C3" s="95"/>
      <c r="D3" s="95"/>
      <c r="E3" s="95"/>
    </row>
    <row r="5" spans="1:5">
      <c r="A5" s="16"/>
      <c r="B5" s="16" t="s">
        <v>263</v>
      </c>
      <c r="C5" s="16" t="s">
        <v>263</v>
      </c>
      <c r="D5" s="95"/>
      <c r="E5" s="95"/>
    </row>
    <row r="6" spans="1:5">
      <c r="A6" s="18" t="s">
        <v>273</v>
      </c>
      <c r="B6" s="68" t="s">
        <v>346</v>
      </c>
      <c r="C6" s="68" t="s">
        <v>364</v>
      </c>
      <c r="D6" s="18" t="s">
        <v>287</v>
      </c>
      <c r="E6" s="95"/>
    </row>
    <row r="8" spans="1:5">
      <c r="A8" s="95" t="s">
        <v>373</v>
      </c>
      <c r="B8" s="22">
        <f>104.754+4.15</f>
        <v>108.90400000000001</v>
      </c>
      <c r="C8" s="22">
        <f>109.126+4.15</f>
        <v>113.27600000000001</v>
      </c>
      <c r="D8" s="22">
        <f>C8-B8</f>
        <v>4.3719999999999999</v>
      </c>
      <c r="E8" s="95"/>
    </row>
    <row r="9" spans="1:5">
      <c r="A9" s="95" t="s">
        <v>275</v>
      </c>
      <c r="B9" s="22">
        <f>13+2</f>
        <v>15</v>
      </c>
      <c r="C9" s="22">
        <f>13.4+2</f>
        <v>15.4</v>
      </c>
      <c r="D9" s="22">
        <f t="shared" ref="D9:D18" si="0">C9-B9</f>
        <v>0.40000000000000036</v>
      </c>
      <c r="E9" s="95"/>
    </row>
    <row r="10" spans="1:5">
      <c r="A10" s="95" t="s">
        <v>330</v>
      </c>
      <c r="B10" s="22">
        <v>3.65</v>
      </c>
      <c r="C10" s="22">
        <v>3.55</v>
      </c>
      <c r="D10" s="22">
        <f t="shared" si="0"/>
        <v>-0.10000000000000009</v>
      </c>
      <c r="E10" s="95"/>
    </row>
    <row r="11" spans="1:5">
      <c r="A11" s="95" t="s">
        <v>331</v>
      </c>
      <c r="B11" s="22">
        <v>1.35</v>
      </c>
      <c r="C11" s="22">
        <v>1.1499999999999999</v>
      </c>
      <c r="D11" s="22">
        <f t="shared" si="0"/>
        <v>-0.20000000000000018</v>
      </c>
      <c r="E11" s="95"/>
    </row>
    <row r="12" spans="1:5">
      <c r="A12" s="95" t="s">
        <v>67</v>
      </c>
      <c r="B12" s="22">
        <v>4</v>
      </c>
      <c r="C12" s="22">
        <v>4</v>
      </c>
      <c r="D12" s="22">
        <f t="shared" si="0"/>
        <v>0</v>
      </c>
      <c r="E12" s="95"/>
    </row>
    <row r="13" spans="1:5">
      <c r="A13" s="95" t="s">
        <v>17</v>
      </c>
      <c r="B13" s="22">
        <v>1.9</v>
      </c>
      <c r="C13" s="22">
        <v>2.4</v>
      </c>
      <c r="D13" s="22">
        <f t="shared" si="0"/>
        <v>0.5</v>
      </c>
      <c r="E13" s="95"/>
    </row>
    <row r="14" spans="1:5">
      <c r="A14" s="95" t="s">
        <v>276</v>
      </c>
      <c r="B14" s="22">
        <v>0.4</v>
      </c>
      <c r="C14" s="22">
        <v>0.35</v>
      </c>
      <c r="D14" s="22">
        <f t="shared" si="0"/>
        <v>-5.0000000000000044E-2</v>
      </c>
      <c r="E14" s="95"/>
    </row>
    <row r="15" spans="1:5">
      <c r="A15" s="95" t="s">
        <v>18</v>
      </c>
      <c r="B15" s="22">
        <v>0.2</v>
      </c>
      <c r="C15" s="22">
        <v>0.2</v>
      </c>
      <c r="D15" s="22">
        <f t="shared" si="0"/>
        <v>0</v>
      </c>
      <c r="E15" s="95"/>
    </row>
    <row r="16" spans="1:5">
      <c r="A16" s="95" t="s">
        <v>277</v>
      </c>
      <c r="B16" s="22">
        <v>1</v>
      </c>
      <c r="C16" s="22">
        <v>1</v>
      </c>
      <c r="D16" s="22">
        <f t="shared" si="0"/>
        <v>0</v>
      </c>
      <c r="E16" s="95"/>
    </row>
    <row r="17" spans="1:10">
      <c r="A17" s="95"/>
      <c r="B17" s="22"/>
      <c r="C17" s="22"/>
      <c r="D17" s="22"/>
      <c r="E17" s="95"/>
    </row>
    <row r="18" spans="1:10">
      <c r="A18" s="95" t="s">
        <v>278</v>
      </c>
      <c r="B18" s="22">
        <f>SUM(B8:B17)</f>
        <v>136.40400000000002</v>
      </c>
      <c r="C18" s="22">
        <f>SUM(C8:C17)</f>
        <v>141.32600000000002</v>
      </c>
      <c r="D18" s="22">
        <f t="shared" si="0"/>
        <v>4.921999999999997</v>
      </c>
      <c r="E18" s="95"/>
    </row>
    <row r="20" spans="1:10">
      <c r="A20" s="97" t="s">
        <v>304</v>
      </c>
      <c r="B20" s="95"/>
      <c r="C20" s="95"/>
      <c r="D20" s="95"/>
      <c r="E20" s="95"/>
    </row>
    <row r="22" spans="1:10">
      <c r="A22" s="16"/>
      <c r="B22" s="16" t="s">
        <v>263</v>
      </c>
      <c r="C22" s="16" t="s">
        <v>263</v>
      </c>
      <c r="D22" s="95"/>
      <c r="E22" s="95"/>
      <c r="J22">
        <f>0.1558+0.3952</f>
        <v>0.55099999999999993</v>
      </c>
    </row>
    <row r="23" spans="1:10">
      <c r="A23" s="18" t="s">
        <v>273</v>
      </c>
      <c r="B23" s="68" t="s">
        <v>346</v>
      </c>
      <c r="C23" s="68" t="s">
        <v>364</v>
      </c>
      <c r="D23" s="18" t="s">
        <v>287</v>
      </c>
      <c r="E23" s="95"/>
    </row>
    <row r="24" spans="1:10">
      <c r="A24" s="18"/>
      <c r="B24" s="68"/>
      <c r="C24" s="68"/>
      <c r="D24" s="95"/>
      <c r="E24" s="95"/>
    </row>
    <row r="25" spans="1:10">
      <c r="A25" s="95" t="s">
        <v>373</v>
      </c>
      <c r="B25" s="22">
        <f>19.11+0.743</f>
        <v>19.852999999999998</v>
      </c>
      <c r="C25" s="22">
        <f>23.292+0.857</f>
        <v>24.149000000000001</v>
      </c>
      <c r="D25" s="24">
        <f t="shared" ref="D25:D40" si="1">C25-B25</f>
        <v>4.2960000000000029</v>
      </c>
      <c r="E25" s="95"/>
    </row>
    <row r="26" spans="1:10">
      <c r="A26" s="95" t="s">
        <v>275</v>
      </c>
      <c r="B26" s="22">
        <f>8.824+3.939</f>
        <v>12.763</v>
      </c>
      <c r="C26" s="22">
        <f>11.522+4.286</f>
        <v>15.808</v>
      </c>
      <c r="D26" s="24">
        <f t="shared" si="1"/>
        <v>3.0449999999999999</v>
      </c>
      <c r="E26" s="95"/>
    </row>
    <row r="27" spans="1:10">
      <c r="A27" s="95" t="s">
        <v>324</v>
      </c>
      <c r="B27" s="22">
        <v>0.54800000000000004</v>
      </c>
      <c r="C27" s="22">
        <v>0.56000000000000005</v>
      </c>
      <c r="D27" s="24">
        <f t="shared" si="1"/>
        <v>1.2000000000000011E-2</v>
      </c>
      <c r="E27" s="95"/>
    </row>
    <row r="28" spans="1:10">
      <c r="A28" s="95" t="s">
        <v>67</v>
      </c>
      <c r="B28" s="22">
        <v>3.492</v>
      </c>
      <c r="C28" s="22">
        <v>1.782</v>
      </c>
      <c r="D28" s="24">
        <f t="shared" si="1"/>
        <v>-1.71</v>
      </c>
      <c r="E28" s="95"/>
    </row>
    <row r="29" spans="1:10">
      <c r="A29" s="95" t="s">
        <v>17</v>
      </c>
      <c r="B29" s="22">
        <v>3.6179999999999999</v>
      </c>
      <c r="C29" s="22">
        <v>4.6550000000000002</v>
      </c>
      <c r="D29" s="24">
        <f t="shared" si="1"/>
        <v>1.0370000000000004</v>
      </c>
      <c r="E29" s="95"/>
    </row>
    <row r="30" spans="1:10">
      <c r="A30" s="95" t="s">
        <v>276</v>
      </c>
      <c r="B30" s="22">
        <v>1.6859999999999999</v>
      </c>
      <c r="C30" s="22">
        <v>2.3570000000000002</v>
      </c>
      <c r="D30" s="24">
        <f t="shared" si="1"/>
        <v>0.67100000000000026</v>
      </c>
      <c r="E30" s="95"/>
    </row>
    <row r="31" spans="1:10">
      <c r="A31" s="95" t="s">
        <v>316</v>
      </c>
      <c r="B31" s="22">
        <v>2.052</v>
      </c>
      <c r="C31" s="22">
        <v>1.978</v>
      </c>
      <c r="D31" s="24">
        <f t="shared" si="1"/>
        <v>-7.4000000000000066E-2</v>
      </c>
      <c r="E31" s="95"/>
    </row>
    <row r="32" spans="1:10">
      <c r="A32" s="95" t="s">
        <v>281</v>
      </c>
      <c r="B32" s="22">
        <f>0.9+3.431+0.45</f>
        <v>4.7810000000000006</v>
      </c>
      <c r="C32" s="22">
        <f>0.9+2.392+0.9+0.573+0.05</f>
        <v>4.8150000000000004</v>
      </c>
      <c r="D32" s="24">
        <f t="shared" si="1"/>
        <v>3.3999999999999808E-2</v>
      </c>
      <c r="E32" s="95"/>
    </row>
    <row r="33" spans="1:4">
      <c r="A33" s="95" t="s">
        <v>280</v>
      </c>
      <c r="B33" s="22">
        <f>1+1+10.497+1</f>
        <v>13.497</v>
      </c>
      <c r="C33" s="22">
        <f>0.208+1+2+12.634+2</f>
        <v>17.841999999999999</v>
      </c>
      <c r="D33" s="24">
        <f t="shared" si="1"/>
        <v>4.3449999999999989</v>
      </c>
    </row>
    <row r="34" spans="1:4">
      <c r="A34" s="95" t="s">
        <v>279</v>
      </c>
      <c r="B34" s="22">
        <v>4</v>
      </c>
      <c r="C34" s="22">
        <v>4</v>
      </c>
      <c r="D34" s="24">
        <f t="shared" si="1"/>
        <v>0</v>
      </c>
    </row>
    <row r="35" spans="1:4">
      <c r="A35" s="95" t="s">
        <v>282</v>
      </c>
      <c r="B35" s="22">
        <v>6.0179999999999998</v>
      </c>
      <c r="C35" s="22">
        <v>6.2649999999999997</v>
      </c>
      <c r="D35" s="24">
        <f t="shared" si="1"/>
        <v>0.24699999999999989</v>
      </c>
    </row>
    <row r="36" spans="1:4">
      <c r="A36" s="95" t="s">
        <v>283</v>
      </c>
      <c r="B36" s="22">
        <v>4.8920000000000003</v>
      </c>
      <c r="C36" s="22">
        <v>4.8920000000000003</v>
      </c>
      <c r="D36" s="24">
        <f t="shared" si="1"/>
        <v>0</v>
      </c>
    </row>
    <row r="37" spans="1:4">
      <c r="A37" s="95" t="s">
        <v>284</v>
      </c>
      <c r="B37" s="22">
        <v>32.412999999999997</v>
      </c>
      <c r="C37" s="22">
        <v>32.334000000000003</v>
      </c>
      <c r="D37" s="24">
        <f t="shared" si="1"/>
        <v>-7.899999999999352E-2</v>
      </c>
    </row>
    <row r="38" spans="1:4">
      <c r="A38" s="95" t="s">
        <v>285</v>
      </c>
      <c r="B38" s="22">
        <v>4.4269999999999996</v>
      </c>
      <c r="C38" s="22">
        <f>4.367+0.06</f>
        <v>4.4269999999999996</v>
      </c>
      <c r="D38" s="24">
        <f t="shared" si="1"/>
        <v>0</v>
      </c>
    </row>
    <row r="39" spans="1:4">
      <c r="A39" s="95"/>
      <c r="B39" s="22"/>
      <c r="C39" s="22"/>
      <c r="D39" s="24"/>
    </row>
    <row r="40" spans="1:4">
      <c r="A40" s="95" t="s">
        <v>286</v>
      </c>
      <c r="B40" s="22">
        <f>SUM(B25:B39)</f>
        <v>114.03999999999999</v>
      </c>
      <c r="C40" s="22">
        <f>SUM(C25:C39)</f>
        <v>125.864</v>
      </c>
      <c r="D40" s="24">
        <f t="shared" si="1"/>
        <v>11.824000000000012</v>
      </c>
    </row>
    <row r="42" spans="1:4" ht="13.9" customHeight="1">
      <c r="A42" s="97" t="s">
        <v>336</v>
      </c>
      <c r="B42" s="95"/>
      <c r="C42" s="95"/>
      <c r="D42" s="95"/>
    </row>
    <row r="43" spans="1:4" ht="68.45" customHeight="1">
      <c r="A43" s="112" t="s">
        <v>404</v>
      </c>
      <c r="B43" s="112"/>
      <c r="C43" s="112"/>
      <c r="D43" s="112"/>
    </row>
    <row r="45" spans="1:4">
      <c r="A45" s="97" t="s">
        <v>337</v>
      </c>
      <c r="B45" s="95"/>
      <c r="C45" s="95"/>
      <c r="D45" s="95"/>
    </row>
    <row r="46" spans="1:4" ht="138" customHeight="1">
      <c r="A46" s="112" t="s">
        <v>406</v>
      </c>
      <c r="B46" s="112"/>
      <c r="C46" s="112"/>
      <c r="D46" s="112"/>
    </row>
    <row r="47" spans="1:4">
      <c r="A47" s="112"/>
      <c r="B47" s="112"/>
      <c r="C47" s="112"/>
      <c r="D47" s="112"/>
    </row>
  </sheetData>
  <customSheetViews>
    <customSheetView guid="{1743B73C-DC30-4A18-8C09-04D85A5C0D60}" showRuler="0">
      <pageMargins left="0.75" right="0.75" top="1" bottom="1" header="0.5" footer="0.5"/>
      <printOptions gridLines="1"/>
      <headerFooter alignWithMargins="0">
        <oddHeader>&amp;A</oddHeader>
        <oddFooter>Page &amp;P</oddFooter>
      </headerFooter>
    </customSheetView>
  </customSheetViews>
  <mergeCells count="2">
    <mergeCell ref="A43:D43"/>
    <mergeCell ref="A46:D47"/>
  </mergeCells>
  <phoneticPr fontId="0" type="noConversion"/>
  <pageMargins left="0.7" right="0.7" top="0.75" bottom="0.75" header="0.3" footer="0.3"/>
  <pageSetup scale="90" orientation="portrait" r:id="rId1"/>
  <headerFooter>
    <oddHeader>&amp;C&amp;"Geneva,Bold"&amp;14 14-15 BUDGET SUMMARY</oddHeader>
    <oddFooter>&amp;CPAGE 4</oddFooter>
  </headerFooter>
  <rowBreaks count="1" manualBreakCount="1">
    <brk id="53"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4"/>
  <sheetViews>
    <sheetView topLeftCell="A28" zoomScaleNormal="100" workbookViewId="0">
      <selection activeCell="F23" sqref="F23"/>
    </sheetView>
  </sheetViews>
  <sheetFormatPr defaultColWidth="11.42578125" defaultRowHeight="12"/>
  <cols>
    <col min="1" max="1" width="12.28515625" style="57" customWidth="1"/>
    <col min="2" max="2" width="17.7109375" style="57" customWidth="1"/>
    <col min="3" max="3" width="6.28515625" style="57" customWidth="1"/>
    <col min="4" max="4" width="12.140625" style="57" customWidth="1"/>
    <col min="5" max="5" width="8.28515625" style="57" customWidth="1"/>
    <col min="6" max="6" width="17.42578125" style="57" customWidth="1"/>
    <col min="7" max="7" width="17" style="57" customWidth="1"/>
    <col min="8" max="16384" width="11.42578125" style="57"/>
  </cols>
  <sheetData>
    <row r="1" spans="2:9">
      <c r="G1" s="58" t="s">
        <v>150</v>
      </c>
    </row>
    <row r="2" spans="2:9">
      <c r="B2" s="58"/>
      <c r="C2" s="58"/>
      <c r="D2" s="58" t="s">
        <v>366</v>
      </c>
      <c r="E2" s="58"/>
      <c r="F2" s="58" t="s">
        <v>366</v>
      </c>
      <c r="G2" s="58" t="s">
        <v>151</v>
      </c>
    </row>
    <row r="3" spans="2:9">
      <c r="B3" s="58"/>
      <c r="C3" s="58"/>
      <c r="D3" s="58" t="s">
        <v>265</v>
      </c>
      <c r="E3" s="58"/>
      <c r="F3" s="58" t="s">
        <v>70</v>
      </c>
      <c r="G3" s="58" t="s">
        <v>152</v>
      </c>
    </row>
    <row r="4" spans="2:9">
      <c r="B4" s="58"/>
      <c r="C4" s="58"/>
      <c r="D4" s="58"/>
      <c r="E4" s="58"/>
      <c r="F4" s="58"/>
      <c r="G4" s="58"/>
    </row>
    <row r="5" spans="2:9">
      <c r="B5" s="59"/>
      <c r="C5" s="60"/>
      <c r="D5" s="60" t="s">
        <v>153</v>
      </c>
      <c r="E5" s="60"/>
      <c r="F5" s="60" t="s">
        <v>153</v>
      </c>
    </row>
    <row r="6" spans="2:9">
      <c r="D6" s="61"/>
      <c r="E6" s="61"/>
      <c r="F6" s="62"/>
      <c r="G6" s="61"/>
    </row>
    <row r="7" spans="2:9">
      <c r="B7" s="57" t="s">
        <v>267</v>
      </c>
      <c r="D7" s="61">
        <f>F72+F73</f>
        <v>12428066</v>
      </c>
      <c r="E7" s="61"/>
      <c r="F7" s="61">
        <f>F111+F113+F119+F121+F145</f>
        <v>16262433</v>
      </c>
      <c r="G7" s="63">
        <f t="shared" ref="G7" si="0">D7-F7</f>
        <v>-3834367</v>
      </c>
    </row>
    <row r="8" spans="2:9">
      <c r="B8" s="57" t="s">
        <v>154</v>
      </c>
      <c r="D8" s="63">
        <f>-F73</f>
        <v>-284384</v>
      </c>
      <c r="E8" s="61"/>
      <c r="F8" s="61"/>
      <c r="G8" s="63"/>
    </row>
    <row r="9" spans="2:9">
      <c r="B9" s="57" t="s">
        <v>266</v>
      </c>
      <c r="D9" s="61">
        <f>SUM(D7:D8)</f>
        <v>12143682</v>
      </c>
      <c r="E9" s="61"/>
      <c r="F9" s="61"/>
      <c r="G9" s="63"/>
    </row>
    <row r="10" spans="2:9">
      <c r="D10" s="63"/>
      <c r="E10" s="61"/>
      <c r="F10" s="61"/>
      <c r="G10" s="63">
        <f>D10-F10</f>
        <v>0</v>
      </c>
    </row>
    <row r="11" spans="2:9">
      <c r="B11" s="58" t="s">
        <v>155</v>
      </c>
      <c r="C11" s="58"/>
      <c r="D11" s="62">
        <f>SUM(D9:D10)</f>
        <v>12143682</v>
      </c>
      <c r="E11" s="62"/>
      <c r="F11" s="62">
        <f>SUM(F7:F10)</f>
        <v>16262433</v>
      </c>
      <c r="G11" s="56">
        <f>SUM(G7:G10)</f>
        <v>-3834367</v>
      </c>
    </row>
    <row r="12" spans="2:9">
      <c r="D12" s="61"/>
      <c r="E12" s="61"/>
      <c r="F12" s="61"/>
      <c r="G12" s="63"/>
    </row>
    <row r="13" spans="2:9">
      <c r="B13" s="58" t="s">
        <v>156</v>
      </c>
      <c r="D13" s="61"/>
      <c r="E13" s="61"/>
      <c r="F13" s="61"/>
      <c r="G13" s="63"/>
    </row>
    <row r="14" spans="2:9">
      <c r="B14" s="57" t="s">
        <v>314</v>
      </c>
      <c r="D14" s="61">
        <f>F76+F73+F77+F104</f>
        <v>1749814</v>
      </c>
      <c r="E14" s="61"/>
      <c r="F14" s="61">
        <f>F115</f>
        <v>2045924</v>
      </c>
      <c r="G14" s="63">
        <f t="shared" ref="G14:G29" si="1">D14-F14</f>
        <v>-296110</v>
      </c>
    </row>
    <row r="15" spans="2:9">
      <c r="B15" s="57" t="s">
        <v>158</v>
      </c>
      <c r="D15" s="61">
        <f>F90</f>
        <v>373968</v>
      </c>
      <c r="E15" s="61"/>
      <c r="F15" s="61">
        <f>F117</f>
        <v>363646</v>
      </c>
      <c r="G15" s="63">
        <f t="shared" si="1"/>
        <v>10322</v>
      </c>
      <c r="H15" s="83"/>
      <c r="I15" s="84"/>
    </row>
    <row r="16" spans="2:9">
      <c r="B16" s="57" t="s">
        <v>159</v>
      </c>
      <c r="D16" s="61">
        <f>F91</f>
        <v>17803</v>
      </c>
      <c r="E16" s="61"/>
      <c r="F16" s="61">
        <f>F123</f>
        <v>17803</v>
      </c>
      <c r="G16" s="63">
        <f t="shared" si="1"/>
        <v>0</v>
      </c>
    </row>
    <row r="17" spans="2:9">
      <c r="B17" s="57" t="s">
        <v>160</v>
      </c>
      <c r="D17" s="61">
        <f>F78</f>
        <v>499386</v>
      </c>
      <c r="E17" s="61"/>
      <c r="F17" s="61">
        <f>F129</f>
        <v>484602</v>
      </c>
      <c r="G17" s="63">
        <f t="shared" si="1"/>
        <v>14784</v>
      </c>
    </row>
    <row r="18" spans="2:9">
      <c r="B18" s="57" t="s">
        <v>161</v>
      </c>
      <c r="D18" s="61">
        <f>F92</f>
        <v>655136</v>
      </c>
      <c r="E18" s="61"/>
      <c r="F18" s="61">
        <f>F125</f>
        <v>637220</v>
      </c>
      <c r="G18" s="63">
        <f t="shared" si="1"/>
        <v>17916</v>
      </c>
      <c r="H18" s="83"/>
      <c r="I18" s="84"/>
    </row>
    <row r="19" spans="2:9">
      <c r="B19" s="57" t="s">
        <v>162</v>
      </c>
      <c r="D19" s="61">
        <f>F79</f>
        <v>104104</v>
      </c>
      <c r="E19" s="61"/>
      <c r="F19" s="61">
        <f>F131</f>
        <v>105681</v>
      </c>
      <c r="G19" s="63">
        <f t="shared" si="1"/>
        <v>-1577</v>
      </c>
    </row>
    <row r="20" spans="2:9">
      <c r="B20" s="57" t="s">
        <v>163</v>
      </c>
      <c r="D20" s="61">
        <f>F80</f>
        <v>115853</v>
      </c>
      <c r="E20" s="61"/>
      <c r="F20" s="61">
        <f>F135</f>
        <v>110328</v>
      </c>
      <c r="G20" s="63">
        <f t="shared" si="1"/>
        <v>5525</v>
      </c>
      <c r="I20" s="61"/>
    </row>
    <row r="21" spans="2:9">
      <c r="B21" s="57" t="s">
        <v>164</v>
      </c>
      <c r="D21" s="61">
        <f>F81</f>
        <v>20674</v>
      </c>
      <c r="E21" s="61"/>
      <c r="F21" s="61">
        <f>F139</f>
        <v>41767</v>
      </c>
      <c r="G21" s="63">
        <f t="shared" si="1"/>
        <v>-21093</v>
      </c>
      <c r="I21" s="61"/>
    </row>
    <row r="22" spans="2:9">
      <c r="B22" s="57" t="s">
        <v>165</v>
      </c>
      <c r="D22" s="61">
        <f>F93</f>
        <v>53500</v>
      </c>
      <c r="E22" s="61"/>
      <c r="F22" s="61">
        <f>F127</f>
        <v>51897</v>
      </c>
      <c r="G22" s="63">
        <f t="shared" si="1"/>
        <v>1603</v>
      </c>
      <c r="H22" s="83"/>
      <c r="I22" s="84"/>
    </row>
    <row r="23" spans="2:9">
      <c r="B23" s="57" t="s">
        <v>166</v>
      </c>
      <c r="D23" s="61">
        <f>F94+F97+F96+F85</f>
        <v>438570</v>
      </c>
      <c r="E23" s="61"/>
      <c r="F23" s="61">
        <f>F141+F133</f>
        <v>421073</v>
      </c>
      <c r="G23" s="63">
        <f t="shared" si="1"/>
        <v>17497</v>
      </c>
    </row>
    <row r="24" spans="2:9">
      <c r="B24" s="57" t="s">
        <v>167</v>
      </c>
      <c r="D24" s="61">
        <f>F75</f>
        <v>0</v>
      </c>
      <c r="E24" s="61"/>
      <c r="F24" s="61">
        <v>0</v>
      </c>
      <c r="G24" s="63">
        <f t="shared" si="1"/>
        <v>0</v>
      </c>
    </row>
    <row r="25" spans="2:9">
      <c r="B25" s="57" t="s">
        <v>168</v>
      </c>
      <c r="D25" s="61">
        <f>F84</f>
        <v>0</v>
      </c>
      <c r="E25" s="61"/>
      <c r="F25" s="61">
        <v>0</v>
      </c>
      <c r="G25" s="63">
        <f t="shared" si="1"/>
        <v>0</v>
      </c>
    </row>
    <row r="26" spans="2:9">
      <c r="B26" s="57" t="s">
        <v>169</v>
      </c>
      <c r="D26" s="61">
        <f>F71</f>
        <v>21000</v>
      </c>
      <c r="E26" s="61"/>
      <c r="F26" s="61">
        <v>0</v>
      </c>
      <c r="G26" s="63">
        <f t="shared" si="1"/>
        <v>21000</v>
      </c>
    </row>
    <row r="27" spans="2:9">
      <c r="B27" s="57" t="s">
        <v>170</v>
      </c>
      <c r="D27" s="61">
        <f>F83+F99+F100</f>
        <v>3506119</v>
      </c>
      <c r="E27" s="61"/>
      <c r="F27" s="61">
        <f>F149</f>
        <v>3658834</v>
      </c>
      <c r="G27" s="63">
        <f t="shared" si="1"/>
        <v>-152715</v>
      </c>
    </row>
    <row r="28" spans="2:9">
      <c r="B28" s="57" t="s">
        <v>171</v>
      </c>
      <c r="D28" s="61">
        <f>F105</f>
        <v>0</v>
      </c>
      <c r="E28" s="61"/>
      <c r="F28" s="61">
        <f>F153</f>
        <v>177651</v>
      </c>
      <c r="G28" s="63">
        <f t="shared" si="1"/>
        <v>-177651</v>
      </c>
    </row>
    <row r="29" spans="2:9">
      <c r="B29" s="58" t="s">
        <v>172</v>
      </c>
      <c r="D29" s="62">
        <f>SUM(D14:D28)</f>
        <v>7555927</v>
      </c>
      <c r="E29" s="62"/>
      <c r="F29" s="62">
        <f>SUM(F14:F28)</f>
        <v>8116426</v>
      </c>
      <c r="G29" s="63">
        <f t="shared" si="1"/>
        <v>-560499</v>
      </c>
    </row>
    <row r="30" spans="2:9">
      <c r="D30" s="61"/>
      <c r="E30" s="61"/>
      <c r="F30" s="61"/>
      <c r="G30" s="63"/>
    </row>
    <row r="31" spans="2:9">
      <c r="B31" s="58" t="s">
        <v>173</v>
      </c>
      <c r="D31" s="61"/>
      <c r="E31" s="61"/>
      <c r="F31" s="61"/>
      <c r="G31" s="63"/>
    </row>
    <row r="32" spans="2:9">
      <c r="B32" s="58" t="s">
        <v>306</v>
      </c>
      <c r="D32" s="62">
        <f>F61+F62</f>
        <v>102200</v>
      </c>
      <c r="E32" s="62"/>
      <c r="F32" s="62">
        <f>F143</f>
        <v>105353</v>
      </c>
      <c r="G32" s="56">
        <f>D32-F32</f>
        <v>-3153</v>
      </c>
    </row>
    <row r="33" spans="2:8">
      <c r="B33" s="58" t="s">
        <v>175</v>
      </c>
      <c r="D33" s="62">
        <f>F64+F82+F95+F98</f>
        <v>767673</v>
      </c>
      <c r="E33" s="62"/>
      <c r="F33" s="62">
        <f>F147</f>
        <v>770311</v>
      </c>
      <c r="G33" s="56">
        <f>D33-F33</f>
        <v>-2638</v>
      </c>
      <c r="H33" s="61"/>
    </row>
    <row r="34" spans="2:8">
      <c r="D34" s="61"/>
      <c r="E34" s="61"/>
      <c r="F34" s="61"/>
      <c r="G34" s="63"/>
    </row>
    <row r="35" spans="2:8">
      <c r="B35" s="58" t="s">
        <v>176</v>
      </c>
      <c r="D35" s="62">
        <f>F58+F59+F74</f>
        <v>4402041</v>
      </c>
      <c r="E35" s="62"/>
      <c r="F35" s="62"/>
      <c r="G35" s="56">
        <f>D35-F35</f>
        <v>4402041</v>
      </c>
    </row>
    <row r="36" spans="2:8">
      <c r="B36" s="58"/>
      <c r="D36" s="61"/>
      <c r="E36" s="61"/>
      <c r="F36" s="61"/>
      <c r="G36" s="63"/>
    </row>
    <row r="37" spans="2:8">
      <c r="B37" s="58" t="s">
        <v>177</v>
      </c>
      <c r="D37" s="61"/>
      <c r="E37" s="61"/>
      <c r="F37" s="61"/>
      <c r="G37" s="63"/>
    </row>
    <row r="38" spans="2:8">
      <c r="B38" s="64" t="s">
        <v>178</v>
      </c>
      <c r="D38" s="61">
        <f>F60+F66+F67+F63</f>
        <v>62500</v>
      </c>
      <c r="E38" s="61"/>
      <c r="F38" s="61">
        <f>F137</f>
        <v>20000</v>
      </c>
      <c r="G38" s="63">
        <f t="shared" ref="G38:G46" si="2">D38-F38</f>
        <v>42500</v>
      </c>
    </row>
    <row r="39" spans="2:8">
      <c r="B39" s="64" t="s">
        <v>179</v>
      </c>
      <c r="D39" s="61">
        <f>F65</f>
        <v>3500</v>
      </c>
      <c r="E39" s="61"/>
      <c r="F39" s="61"/>
      <c r="G39" s="63">
        <f t="shared" si="2"/>
        <v>3500</v>
      </c>
    </row>
    <row r="40" spans="2:8">
      <c r="B40" s="64" t="s">
        <v>180</v>
      </c>
      <c r="D40" s="61">
        <f>F68</f>
        <v>0</v>
      </c>
      <c r="E40" s="61"/>
      <c r="F40" s="61"/>
      <c r="G40" s="63">
        <f t="shared" si="2"/>
        <v>0</v>
      </c>
    </row>
    <row r="41" spans="2:8">
      <c r="B41" s="64" t="s">
        <v>181</v>
      </c>
      <c r="D41" s="61">
        <f>F70</f>
        <v>21000</v>
      </c>
      <c r="E41" s="61"/>
      <c r="F41" s="61"/>
      <c r="G41" s="63">
        <f t="shared" si="2"/>
        <v>21000</v>
      </c>
    </row>
    <row r="42" spans="2:8">
      <c r="B42" s="64" t="s">
        <v>182</v>
      </c>
      <c r="D42" s="61">
        <f>F69</f>
        <v>5000</v>
      </c>
      <c r="E42" s="61"/>
      <c r="F42" s="61"/>
      <c r="G42" s="63">
        <f t="shared" si="2"/>
        <v>5000</v>
      </c>
    </row>
    <row r="43" spans="2:8">
      <c r="B43" s="64" t="s">
        <v>183</v>
      </c>
      <c r="D43" s="61">
        <f>F101+F102</f>
        <v>196000</v>
      </c>
      <c r="E43" s="61"/>
      <c r="F43" s="61"/>
      <c r="G43" s="63">
        <f t="shared" si="2"/>
        <v>196000</v>
      </c>
    </row>
    <row r="44" spans="2:8">
      <c r="B44" s="64" t="s">
        <v>184</v>
      </c>
      <c r="D44" s="61">
        <f>F103</f>
        <v>15000</v>
      </c>
      <c r="E44" s="61"/>
      <c r="F44" s="61"/>
      <c r="G44" s="63">
        <f t="shared" si="2"/>
        <v>15000</v>
      </c>
    </row>
    <row r="45" spans="2:8">
      <c r="D45" s="61"/>
      <c r="E45" s="61"/>
      <c r="F45" s="61"/>
      <c r="G45" s="63"/>
    </row>
    <row r="46" spans="2:8">
      <c r="B46" s="58" t="s">
        <v>185</v>
      </c>
      <c r="D46" s="62">
        <f>D11+D29+D32+D33+D35+D38+D39+D40+D41+D42+D43+D44</f>
        <v>25274523</v>
      </c>
      <c r="E46" s="62"/>
      <c r="F46" s="62">
        <f>F11+F29+F32+F33+F38</f>
        <v>25274523</v>
      </c>
      <c r="G46" s="56">
        <f t="shared" si="2"/>
        <v>0</v>
      </c>
    </row>
    <row r="47" spans="2:8">
      <c r="D47" s="61"/>
      <c r="E47" s="61"/>
      <c r="F47" s="61"/>
      <c r="G47" s="65"/>
    </row>
    <row r="48" spans="2:8">
      <c r="B48" s="58" t="s">
        <v>367</v>
      </c>
      <c r="D48" s="63">
        <v>2400000</v>
      </c>
      <c r="E48" s="61"/>
      <c r="F48" s="61"/>
      <c r="G48" s="61"/>
    </row>
    <row r="49" spans="1:10">
      <c r="B49" s="58" t="s">
        <v>186</v>
      </c>
      <c r="D49" s="63">
        <f>D46</f>
        <v>25274523</v>
      </c>
      <c r="E49" s="61"/>
      <c r="F49" s="61"/>
      <c r="G49" s="61"/>
      <c r="H49" s="65"/>
    </row>
    <row r="50" spans="1:10">
      <c r="B50" s="57" t="s">
        <v>187</v>
      </c>
      <c r="D50" s="63">
        <f>-F46</f>
        <v>-25274523</v>
      </c>
      <c r="E50" s="61"/>
      <c r="F50" s="61"/>
      <c r="G50" s="61"/>
    </row>
    <row r="51" spans="1:10">
      <c r="B51" s="58" t="s">
        <v>368</v>
      </c>
      <c r="D51" s="63">
        <f>SUM(D48:D50)</f>
        <v>2400000</v>
      </c>
      <c r="E51" s="61"/>
      <c r="F51" s="61"/>
      <c r="G51" s="61"/>
    </row>
    <row r="52" spans="1:10">
      <c r="B52" s="58" t="s">
        <v>188</v>
      </c>
      <c r="D52" s="63">
        <f>D51-D48</f>
        <v>0</v>
      </c>
      <c r="E52" s="61"/>
      <c r="F52" s="61"/>
      <c r="G52" s="61"/>
      <c r="J52" s="61"/>
    </row>
    <row r="53" spans="1:10">
      <c r="D53" s="61"/>
      <c r="E53" s="61"/>
      <c r="F53" s="61"/>
      <c r="G53" s="61"/>
    </row>
    <row r="54" spans="1:10" hidden="1">
      <c r="B54" s="58" t="s">
        <v>369</v>
      </c>
      <c r="D54" s="61"/>
      <c r="E54" s="61"/>
      <c r="F54" s="61"/>
      <c r="G54" s="61"/>
    </row>
    <row r="55" spans="1:10" hidden="1">
      <c r="D55" s="61"/>
      <c r="E55" s="61"/>
      <c r="F55" s="61"/>
      <c r="G55" s="61"/>
    </row>
    <row r="56" spans="1:10" ht="15.75" hidden="1">
      <c r="B56" s="66" t="s">
        <v>189</v>
      </c>
      <c r="C56" s="58"/>
      <c r="D56" s="62"/>
      <c r="E56" s="62"/>
      <c r="F56" s="62"/>
      <c r="G56" s="62"/>
    </row>
    <row r="57" spans="1:10" hidden="1">
      <c r="B57" s="58"/>
      <c r="C57" s="58"/>
      <c r="D57" s="62" t="s">
        <v>345</v>
      </c>
      <c r="E57" s="62"/>
      <c r="F57" s="62" t="s">
        <v>370</v>
      </c>
      <c r="G57" s="62" t="s">
        <v>190</v>
      </c>
    </row>
    <row r="58" spans="1:10" hidden="1">
      <c r="A58" s="57" t="s">
        <v>191</v>
      </c>
      <c r="B58" s="57">
        <v>1100</v>
      </c>
      <c r="D58" s="61">
        <v>3102700</v>
      </c>
      <c r="E58" s="61"/>
      <c r="F58" s="61">
        <v>3439936</v>
      </c>
      <c r="G58" s="61">
        <f>F58-D58</f>
        <v>337236</v>
      </c>
    </row>
    <row r="59" spans="1:10" hidden="1">
      <c r="A59" s="57" t="s">
        <v>192</v>
      </c>
      <c r="B59" s="57">
        <v>1500</v>
      </c>
      <c r="D59" s="61">
        <v>147382</v>
      </c>
      <c r="E59" s="61"/>
      <c r="F59" s="61">
        <v>147772</v>
      </c>
      <c r="G59" s="61">
        <f t="shared" ref="G59:G106" si="3">F59-D59</f>
        <v>390</v>
      </c>
      <c r="H59" s="61">
        <f>SUM(F58:F59)</f>
        <v>3587708</v>
      </c>
    </row>
    <row r="60" spans="1:10" hidden="1">
      <c r="A60" s="57" t="s">
        <v>193</v>
      </c>
      <c r="B60" s="57">
        <v>2100</v>
      </c>
      <c r="D60" s="61">
        <f>12000+26000</f>
        <v>38000</v>
      </c>
      <c r="E60" s="61"/>
      <c r="F60" s="61">
        <f>12000+30000</f>
        <v>42000</v>
      </c>
      <c r="G60" s="61">
        <f t="shared" si="3"/>
        <v>4000</v>
      </c>
    </row>
    <row r="61" spans="1:10" hidden="1">
      <c r="A61" s="57" t="s">
        <v>174</v>
      </c>
      <c r="B61" s="57">
        <v>2186</v>
      </c>
      <c r="D61" s="61">
        <f>1200+6000</f>
        <v>7200</v>
      </c>
      <c r="E61" s="61"/>
      <c r="F61" s="61">
        <f>1200+6000</f>
        <v>7200</v>
      </c>
      <c r="G61" s="61">
        <f t="shared" si="3"/>
        <v>0</v>
      </c>
    </row>
    <row r="62" spans="1:10" hidden="1">
      <c r="A62" s="57" t="s">
        <v>305</v>
      </c>
      <c r="B62" s="57">
        <v>2188</v>
      </c>
      <c r="D62" s="61">
        <f>75000+5766+2500+11000-7698</f>
        <v>86568</v>
      </c>
      <c r="E62" s="61"/>
      <c r="F62" s="61">
        <f>70000+3500+2500+19000</f>
        <v>95000</v>
      </c>
      <c r="G62" s="61">
        <f t="shared" si="3"/>
        <v>8432</v>
      </c>
    </row>
    <row r="63" spans="1:10" hidden="1">
      <c r="A63" s="57" t="s">
        <v>194</v>
      </c>
      <c r="B63" s="57">
        <v>2200</v>
      </c>
      <c r="D63" s="61">
        <v>0</v>
      </c>
      <c r="E63" s="61"/>
      <c r="F63" s="61">
        <v>0</v>
      </c>
      <c r="G63" s="61">
        <f t="shared" si="3"/>
        <v>0</v>
      </c>
    </row>
    <row r="64" spans="1:10" hidden="1">
      <c r="A64" s="57" t="s">
        <v>195</v>
      </c>
      <c r="B64" s="57">
        <v>2298</v>
      </c>
      <c r="D64" s="61">
        <v>183940</v>
      </c>
      <c r="E64" s="61"/>
      <c r="F64" s="61">
        <v>179149</v>
      </c>
      <c r="G64" s="61">
        <f t="shared" si="3"/>
        <v>-4791</v>
      </c>
      <c r="I64" s="75">
        <f>(F86+F88+F89)/F106</f>
        <v>0</v>
      </c>
    </row>
    <row r="65" spans="1:8" hidden="1">
      <c r="A65" s="57" t="s">
        <v>179</v>
      </c>
      <c r="B65" s="57">
        <v>2300</v>
      </c>
      <c r="D65" s="61">
        <v>3500</v>
      </c>
      <c r="E65" s="61"/>
      <c r="F65" s="61">
        <v>3500</v>
      </c>
      <c r="G65" s="61">
        <f t="shared" si="3"/>
        <v>0</v>
      </c>
    </row>
    <row r="66" spans="1:8" hidden="1">
      <c r="A66" s="57" t="s">
        <v>196</v>
      </c>
      <c r="B66" s="57">
        <v>2500</v>
      </c>
      <c r="D66" s="61">
        <v>20000</v>
      </c>
      <c r="E66" s="61"/>
      <c r="F66" s="61">
        <v>20000</v>
      </c>
      <c r="G66" s="61">
        <f t="shared" si="3"/>
        <v>0</v>
      </c>
    </row>
    <row r="67" spans="1:8" hidden="1">
      <c r="A67" s="57" t="s">
        <v>197</v>
      </c>
      <c r="B67" s="57">
        <v>2600</v>
      </c>
      <c r="D67" s="61">
        <v>500</v>
      </c>
      <c r="E67" s="61"/>
      <c r="F67" s="61">
        <v>500</v>
      </c>
      <c r="G67" s="61">
        <f t="shared" si="3"/>
        <v>0</v>
      </c>
    </row>
    <row r="68" spans="1:8" hidden="1">
      <c r="A68" s="57" t="s">
        <v>180</v>
      </c>
      <c r="B68" s="57">
        <v>2700</v>
      </c>
      <c r="D68" s="61">
        <v>0</v>
      </c>
      <c r="E68" s="61"/>
      <c r="F68" s="61">
        <v>0</v>
      </c>
      <c r="G68" s="61">
        <f t="shared" si="3"/>
        <v>0</v>
      </c>
    </row>
    <row r="69" spans="1:8" hidden="1">
      <c r="A69" s="57" t="s">
        <v>198</v>
      </c>
      <c r="B69" s="57">
        <v>2800</v>
      </c>
      <c r="D69" s="61">
        <v>5000</v>
      </c>
      <c r="E69" s="61"/>
      <c r="F69" s="61">
        <v>5000</v>
      </c>
      <c r="G69" s="61">
        <f t="shared" si="3"/>
        <v>0</v>
      </c>
    </row>
    <row r="70" spans="1:8" hidden="1">
      <c r="A70" s="57" t="s">
        <v>199</v>
      </c>
      <c r="B70" s="57">
        <v>2900</v>
      </c>
      <c r="D70" s="61">
        <f>6000+8000</f>
        <v>14000</v>
      </c>
      <c r="E70" s="61"/>
      <c r="F70" s="61">
        <f>9000+10000+2000</f>
        <v>21000</v>
      </c>
      <c r="G70" s="61">
        <f t="shared" si="3"/>
        <v>7000</v>
      </c>
    </row>
    <row r="71" spans="1:8" hidden="1">
      <c r="A71" s="57" t="s">
        <v>200</v>
      </c>
      <c r="B71" s="57">
        <v>2910</v>
      </c>
      <c r="D71" s="61">
        <v>34700</v>
      </c>
      <c r="E71" s="61"/>
      <c r="F71" s="61">
        <v>21000</v>
      </c>
      <c r="G71" s="61">
        <f t="shared" si="3"/>
        <v>-13700</v>
      </c>
      <c r="H71" s="61">
        <f>SUM(F60:F71)</f>
        <v>394349</v>
      </c>
    </row>
    <row r="72" spans="1:8" hidden="1">
      <c r="A72" s="57" t="s">
        <v>201</v>
      </c>
      <c r="B72" s="57">
        <v>3100</v>
      </c>
      <c r="D72" s="61">
        <v>11611248</v>
      </c>
      <c r="E72" s="61"/>
      <c r="F72" s="61">
        <v>12143682</v>
      </c>
      <c r="G72" s="61">
        <f t="shared" si="3"/>
        <v>532434</v>
      </c>
      <c r="H72" s="57">
        <f>(F72-D72)/D72</f>
        <v>4.5855019202070267E-2</v>
      </c>
    </row>
    <row r="73" spans="1:8" hidden="1">
      <c r="A73" s="57" t="s">
        <v>202</v>
      </c>
      <c r="B73" s="57">
        <v>3121</v>
      </c>
      <c r="D73" s="61">
        <v>238198</v>
      </c>
      <c r="E73" s="61"/>
      <c r="F73" s="61">
        <v>284384</v>
      </c>
      <c r="G73" s="61">
        <f t="shared" si="3"/>
        <v>46186</v>
      </c>
    </row>
    <row r="74" spans="1:8" hidden="1">
      <c r="A74" s="57" t="s">
        <v>203</v>
      </c>
      <c r="B74" s="57">
        <v>3300</v>
      </c>
      <c r="D74" s="61">
        <v>627000</v>
      </c>
      <c r="E74" s="61"/>
      <c r="F74" s="61">
        <v>814333</v>
      </c>
      <c r="G74" s="61">
        <f t="shared" si="3"/>
        <v>187333</v>
      </c>
    </row>
    <row r="75" spans="1:8" hidden="1">
      <c r="A75" s="57" t="s">
        <v>204</v>
      </c>
      <c r="B75" s="57">
        <v>3600</v>
      </c>
      <c r="D75" s="61">
        <v>0</v>
      </c>
      <c r="E75" s="61"/>
      <c r="F75" s="61">
        <v>0</v>
      </c>
      <c r="G75" s="61">
        <f t="shared" si="3"/>
        <v>0</v>
      </c>
      <c r="H75" s="61">
        <f>SUM(F72:F75)</f>
        <v>13242399</v>
      </c>
    </row>
    <row r="76" spans="1:8" hidden="1">
      <c r="A76" s="57" t="s">
        <v>205</v>
      </c>
      <c r="B76" s="57">
        <v>4121</v>
      </c>
      <c r="D76" s="61">
        <v>1094383</v>
      </c>
      <c r="E76" s="61"/>
      <c r="F76" s="61">
        <f>1212992+75000</f>
        <v>1287992</v>
      </c>
      <c r="G76" s="61">
        <f t="shared" si="3"/>
        <v>193609</v>
      </c>
    </row>
    <row r="77" spans="1:8" hidden="1">
      <c r="A77" s="57" t="s">
        <v>344</v>
      </c>
      <c r="B77" s="57">
        <v>4122</v>
      </c>
      <c r="D77" s="61">
        <v>49552</v>
      </c>
      <c r="E77" s="61"/>
      <c r="F77" s="61">
        <v>57985</v>
      </c>
      <c r="G77" s="61">
        <f t="shared" si="3"/>
        <v>8433</v>
      </c>
    </row>
    <row r="78" spans="1:8" hidden="1">
      <c r="A78" s="57" t="s">
        <v>17</v>
      </c>
      <c r="B78" s="57">
        <v>4155</v>
      </c>
      <c r="D78" s="61">
        <v>430076</v>
      </c>
      <c r="E78" s="61"/>
      <c r="F78" s="61">
        <v>499386</v>
      </c>
      <c r="G78" s="61">
        <f t="shared" si="3"/>
        <v>69310</v>
      </c>
    </row>
    <row r="79" spans="1:8" hidden="1">
      <c r="A79" s="57" t="s">
        <v>206</v>
      </c>
      <c r="B79" s="57">
        <v>4158</v>
      </c>
      <c r="D79" s="61">
        <f>62000+2000+300+3500</f>
        <v>67800</v>
      </c>
      <c r="E79" s="61"/>
      <c r="F79" s="61">
        <f>87600+2000+300+3500+800+9904</f>
        <v>104104</v>
      </c>
      <c r="G79" s="61">
        <f t="shared" si="3"/>
        <v>36304</v>
      </c>
    </row>
    <row r="80" spans="1:8" hidden="1">
      <c r="A80" s="57" t="s">
        <v>163</v>
      </c>
      <c r="B80" s="57">
        <v>4165</v>
      </c>
      <c r="D80" s="61">
        <v>121738</v>
      </c>
      <c r="E80" s="61"/>
      <c r="F80" s="61">
        <v>115853</v>
      </c>
      <c r="G80" s="61">
        <f t="shared" si="3"/>
        <v>-5885</v>
      </c>
    </row>
    <row r="81" spans="1:9" hidden="1">
      <c r="A81" s="57" t="s">
        <v>207</v>
      </c>
      <c r="B81" s="57">
        <v>4174</v>
      </c>
      <c r="D81" s="61">
        <v>20558</v>
      </c>
      <c r="E81" s="61"/>
      <c r="F81" s="61">
        <v>20674</v>
      </c>
      <c r="G81" s="61">
        <f t="shared" si="3"/>
        <v>116</v>
      </c>
    </row>
    <row r="82" spans="1:9" hidden="1">
      <c r="A82" s="57" t="s">
        <v>208</v>
      </c>
      <c r="B82" s="57">
        <v>4198</v>
      </c>
      <c r="D82" s="61">
        <v>6984</v>
      </c>
      <c r="E82" s="61"/>
      <c r="F82" s="61">
        <v>8693</v>
      </c>
      <c r="G82" s="61">
        <f t="shared" si="3"/>
        <v>1709</v>
      </c>
    </row>
    <row r="83" spans="1:9" hidden="1">
      <c r="A83" s="57" t="s">
        <v>209</v>
      </c>
      <c r="B83" s="57">
        <v>4199</v>
      </c>
      <c r="D83" s="61">
        <v>2544000</v>
      </c>
      <c r="E83" s="61"/>
      <c r="F83" s="61">
        <v>3085000</v>
      </c>
      <c r="G83" s="61">
        <f t="shared" si="3"/>
        <v>541000</v>
      </c>
      <c r="H83" s="61">
        <f>SUM(F76:F83)</f>
        <v>5179687</v>
      </c>
    </row>
    <row r="84" spans="1:9" hidden="1">
      <c r="A84" s="57" t="s">
        <v>168</v>
      </c>
      <c r="B84" s="57">
        <v>5500</v>
      </c>
      <c r="D84" s="61">
        <v>0</v>
      </c>
      <c r="E84" s="61"/>
      <c r="F84" s="61">
        <v>0</v>
      </c>
      <c r="G84" s="61">
        <f t="shared" si="3"/>
        <v>0</v>
      </c>
    </row>
    <row r="85" spans="1:9" hidden="1">
      <c r="A85" s="57" t="s">
        <v>210</v>
      </c>
      <c r="B85" s="57">
        <v>6100</v>
      </c>
      <c r="D85" s="61">
        <v>350000</v>
      </c>
      <c r="E85" s="61"/>
      <c r="F85" s="61">
        <v>400000</v>
      </c>
      <c r="G85" s="61">
        <f t="shared" si="3"/>
        <v>50000</v>
      </c>
    </row>
    <row r="86" spans="1:9" hidden="1">
      <c r="A86" s="57" t="s">
        <v>268</v>
      </c>
      <c r="B86" s="57">
        <v>6111</v>
      </c>
      <c r="D86" s="61">
        <v>0</v>
      </c>
      <c r="E86" s="61"/>
      <c r="F86" s="61">
        <v>0</v>
      </c>
      <c r="G86" s="61">
        <f t="shared" si="3"/>
        <v>0</v>
      </c>
    </row>
    <row r="87" spans="1:9" hidden="1">
      <c r="A87" s="57" t="s">
        <v>269</v>
      </c>
      <c r="B87" s="57">
        <v>6113</v>
      </c>
      <c r="D87" s="61">
        <v>0</v>
      </c>
      <c r="E87" s="61"/>
      <c r="F87" s="61">
        <v>0</v>
      </c>
      <c r="G87" s="61">
        <f t="shared" si="3"/>
        <v>0</v>
      </c>
      <c r="I87" s="57">
        <f>20000+34000+50000+70000+250+1500+2000+7000+25000+3000</f>
        <v>212750</v>
      </c>
    </row>
    <row r="88" spans="1:9" hidden="1">
      <c r="A88" s="57" t="s">
        <v>270</v>
      </c>
      <c r="B88" s="57">
        <v>6114</v>
      </c>
      <c r="D88" s="61">
        <v>0</v>
      </c>
      <c r="E88" s="61"/>
      <c r="F88" s="61">
        <v>0</v>
      </c>
      <c r="G88" s="61">
        <f t="shared" si="3"/>
        <v>0</v>
      </c>
      <c r="I88" s="57">
        <f>209750-3500</f>
        <v>206250</v>
      </c>
    </row>
    <row r="89" spans="1:9" hidden="1">
      <c r="A89" s="57" t="s">
        <v>271</v>
      </c>
      <c r="B89" s="57">
        <v>6119</v>
      </c>
      <c r="D89" s="61">
        <v>0</v>
      </c>
      <c r="E89" s="61"/>
      <c r="F89" s="61">
        <v>0</v>
      </c>
      <c r="G89" s="61">
        <f t="shared" si="3"/>
        <v>0</v>
      </c>
    </row>
    <row r="90" spans="1:9" hidden="1">
      <c r="A90" s="57" t="s">
        <v>212</v>
      </c>
      <c r="B90" s="57">
        <v>6124</v>
      </c>
      <c r="D90" s="61">
        <f>347888+13692</f>
        <v>361580</v>
      </c>
      <c r="E90" s="61"/>
      <c r="F90" s="61">
        <f>360283+13685</f>
        <v>373968</v>
      </c>
      <c r="G90" s="61">
        <f t="shared" si="3"/>
        <v>12388</v>
      </c>
      <c r="I90" s="57">
        <f>20000+34000+50000+70000</f>
        <v>174000</v>
      </c>
    </row>
    <row r="91" spans="1:9" hidden="1">
      <c r="A91" s="57" t="s">
        <v>213</v>
      </c>
      <c r="B91" s="57">
        <v>6138</v>
      </c>
      <c r="D91" s="61">
        <v>17803</v>
      </c>
      <c r="E91" s="61"/>
      <c r="F91" s="61">
        <v>17803</v>
      </c>
      <c r="G91" s="61">
        <f t="shared" si="3"/>
        <v>0</v>
      </c>
      <c r="I91" s="57">
        <f>1686+115+65+23</f>
        <v>1889</v>
      </c>
    </row>
    <row r="92" spans="1:9" hidden="1">
      <c r="A92" s="57" t="s">
        <v>214</v>
      </c>
      <c r="B92" s="57">
        <v>6151</v>
      </c>
      <c r="D92" s="61">
        <v>615000</v>
      </c>
      <c r="E92" s="61"/>
      <c r="F92" s="61">
        <v>655136</v>
      </c>
      <c r="G92" s="61">
        <f t="shared" si="3"/>
        <v>40136</v>
      </c>
    </row>
    <row r="93" spans="1:9" hidden="1">
      <c r="A93" s="57" t="s">
        <v>215</v>
      </c>
      <c r="B93" s="57">
        <v>6152</v>
      </c>
      <c r="D93" s="61">
        <v>58748</v>
      </c>
      <c r="E93" s="61"/>
      <c r="F93" s="61">
        <v>53500</v>
      </c>
      <c r="G93" s="61">
        <f t="shared" si="3"/>
        <v>-5248</v>
      </c>
    </row>
    <row r="94" spans="1:9" hidden="1">
      <c r="A94" s="57" t="s">
        <v>216</v>
      </c>
      <c r="B94" s="57">
        <v>6164</v>
      </c>
      <c r="D94" s="61">
        <v>23650</v>
      </c>
      <c r="E94" s="61"/>
      <c r="F94" s="61">
        <v>21570</v>
      </c>
      <c r="G94" s="61">
        <f t="shared" si="3"/>
        <v>-2080</v>
      </c>
    </row>
    <row r="95" spans="1:9" hidden="1">
      <c r="A95" s="57" t="s">
        <v>217</v>
      </c>
      <c r="B95" s="57">
        <v>6198</v>
      </c>
      <c r="D95" s="61">
        <v>468055</v>
      </c>
      <c r="E95" s="61"/>
      <c r="F95" s="61">
        <v>534187</v>
      </c>
      <c r="G95" s="61">
        <f t="shared" si="3"/>
        <v>66132</v>
      </c>
    </row>
    <row r="96" spans="1:9" hidden="1">
      <c r="A96" s="57" t="s">
        <v>218</v>
      </c>
      <c r="B96" s="57">
        <v>6310</v>
      </c>
      <c r="D96" s="61">
        <v>50000</v>
      </c>
      <c r="E96" s="61"/>
      <c r="F96" s="61">
        <v>0</v>
      </c>
      <c r="G96" s="61">
        <f t="shared" si="3"/>
        <v>-50000</v>
      </c>
    </row>
    <row r="97" spans="1:9" hidden="1">
      <c r="A97" s="57" t="s">
        <v>211</v>
      </c>
      <c r="B97" s="93" t="s">
        <v>374</v>
      </c>
      <c r="D97" s="61">
        <v>0</v>
      </c>
      <c r="E97" s="61"/>
      <c r="F97" s="61">
        <f>7000+10000</f>
        <v>17000</v>
      </c>
      <c r="G97" s="61">
        <f t="shared" si="3"/>
        <v>17000</v>
      </c>
    </row>
    <row r="98" spans="1:9" hidden="1">
      <c r="A98" s="57" t="s">
        <v>219</v>
      </c>
      <c r="B98" s="57">
        <v>6998</v>
      </c>
      <c r="D98" s="61">
        <v>44350</v>
      </c>
      <c r="E98" s="61"/>
      <c r="F98" s="61">
        <v>45644</v>
      </c>
      <c r="G98" s="61">
        <f t="shared" si="3"/>
        <v>1294</v>
      </c>
      <c r="H98" s="61">
        <f>SUM(F85:F98)</f>
        <v>2118808</v>
      </c>
    </row>
    <row r="99" spans="1:9" hidden="1">
      <c r="A99" s="57" t="s">
        <v>220</v>
      </c>
      <c r="B99" s="57" t="s">
        <v>221</v>
      </c>
      <c r="D99" s="61">
        <v>633280</v>
      </c>
      <c r="E99" s="61"/>
      <c r="F99" s="61">
        <v>378861</v>
      </c>
      <c r="G99" s="61">
        <f t="shared" si="3"/>
        <v>-254419</v>
      </c>
    </row>
    <row r="100" spans="1:9" hidden="1">
      <c r="B100" s="57" t="s">
        <v>222</v>
      </c>
      <c r="D100" s="61">
        <v>0</v>
      </c>
      <c r="E100" s="61"/>
      <c r="F100" s="61">
        <v>42258</v>
      </c>
      <c r="G100" s="61">
        <f t="shared" si="3"/>
        <v>42258</v>
      </c>
    </row>
    <row r="101" spans="1:9" hidden="1">
      <c r="A101" s="57" t="s">
        <v>223</v>
      </c>
      <c r="B101" s="57" t="s">
        <v>224</v>
      </c>
      <c r="D101" s="61">
        <f>34000+55000+67000</f>
        <v>156000</v>
      </c>
      <c r="E101" s="61"/>
      <c r="F101" s="61">
        <f>34000+55000+67000</f>
        <v>156000</v>
      </c>
      <c r="G101" s="61">
        <f t="shared" si="3"/>
        <v>0</v>
      </c>
    </row>
    <row r="102" spans="1:9" hidden="1">
      <c r="A102" s="57" t="s">
        <v>225</v>
      </c>
      <c r="B102" s="67" t="s">
        <v>375</v>
      </c>
      <c r="D102" s="61">
        <v>40000</v>
      </c>
      <c r="E102" s="61"/>
      <c r="F102" s="61">
        <v>40000</v>
      </c>
      <c r="G102" s="61">
        <f t="shared" si="3"/>
        <v>0</v>
      </c>
    </row>
    <row r="103" spans="1:9" hidden="1">
      <c r="A103" s="57" t="s">
        <v>226</v>
      </c>
      <c r="B103" s="57">
        <v>7301</v>
      </c>
      <c r="D103" s="61">
        <v>6500</v>
      </c>
      <c r="E103" s="61"/>
      <c r="F103" s="61">
        <v>15000</v>
      </c>
      <c r="G103" s="61">
        <f t="shared" si="3"/>
        <v>8500</v>
      </c>
      <c r="H103" s="61">
        <f>SUM(F99:F103)</f>
        <v>632119</v>
      </c>
    </row>
    <row r="104" spans="1:9" hidden="1">
      <c r="A104" s="57" t="s">
        <v>332</v>
      </c>
      <c r="B104" s="57">
        <v>8500</v>
      </c>
      <c r="D104" s="61">
        <f>25500+139000</f>
        <v>164500</v>
      </c>
      <c r="E104" s="61"/>
      <c r="F104" s="61">
        <f>26413+93040</f>
        <v>119453</v>
      </c>
      <c r="G104" s="61">
        <f t="shared" si="3"/>
        <v>-45047</v>
      </c>
    </row>
    <row r="105" spans="1:9" hidden="1">
      <c r="A105" s="57" t="s">
        <v>227</v>
      </c>
      <c r="D105" s="61">
        <v>0</v>
      </c>
      <c r="E105" s="61"/>
      <c r="F105" s="61">
        <v>0</v>
      </c>
      <c r="G105" s="61">
        <f t="shared" si="3"/>
        <v>0</v>
      </c>
    </row>
    <row r="106" spans="1:9" hidden="1">
      <c r="B106" s="57" t="s">
        <v>228</v>
      </c>
      <c r="D106" s="61">
        <f>SUM(D58:D105)</f>
        <v>23444493</v>
      </c>
      <c r="E106" s="61"/>
      <c r="F106" s="61">
        <f>SUM(F58:F105)</f>
        <v>25274523</v>
      </c>
      <c r="G106" s="61">
        <f t="shared" si="3"/>
        <v>1830030</v>
      </c>
      <c r="I106" s="61">
        <f>20939176-F106</f>
        <v>-4335347</v>
      </c>
    </row>
    <row r="107" spans="1:9" hidden="1">
      <c r="D107" s="61"/>
      <c r="E107" s="61"/>
      <c r="F107" s="61"/>
      <c r="G107" s="61"/>
      <c r="I107" s="57">
        <f>20919152-20923152</f>
        <v>-4000</v>
      </c>
    </row>
    <row r="108" spans="1:9" ht="15.75" hidden="1">
      <c r="B108" s="66" t="s">
        <v>70</v>
      </c>
      <c r="D108" s="61">
        <f>SUM(D106:D107)</f>
        <v>23444493</v>
      </c>
      <c r="E108" s="61"/>
      <c r="F108" s="61">
        <f>SUM(F106:F107)</f>
        <v>25274523</v>
      </c>
      <c r="G108" s="61">
        <f>D46-F108</f>
        <v>0</v>
      </c>
    </row>
    <row r="109" spans="1:9" hidden="1">
      <c r="D109" s="61"/>
      <c r="E109" s="61"/>
      <c r="F109" s="61"/>
      <c r="G109" s="61"/>
    </row>
    <row r="110" spans="1:9" hidden="1">
      <c r="D110" s="62" t="s">
        <v>345</v>
      </c>
      <c r="E110" s="62"/>
      <c r="F110" s="62" t="s">
        <v>370</v>
      </c>
      <c r="G110" s="62" t="s">
        <v>190</v>
      </c>
    </row>
    <row r="111" spans="1:9" hidden="1">
      <c r="A111" s="57" t="s">
        <v>229</v>
      </c>
      <c r="B111" s="57" t="s">
        <v>272</v>
      </c>
      <c r="D111" s="61">
        <v>10989764</v>
      </c>
      <c r="E111" s="61"/>
      <c r="F111" s="61">
        <v>11878748</v>
      </c>
      <c r="G111" s="61">
        <f>F111-D111</f>
        <v>888984</v>
      </c>
      <c r="I111" s="61">
        <f>21413843-F108</f>
        <v>-3860680</v>
      </c>
    </row>
    <row r="112" spans="1:9" hidden="1">
      <c r="D112" s="61"/>
      <c r="E112" s="61"/>
      <c r="F112" s="61"/>
      <c r="G112" s="61"/>
      <c r="H112" s="61"/>
    </row>
    <row r="113" spans="1:9" hidden="1">
      <c r="A113" s="57" t="s">
        <v>307</v>
      </c>
      <c r="B113" s="57" t="s">
        <v>308</v>
      </c>
      <c r="D113" s="61">
        <v>478118</v>
      </c>
      <c r="E113" s="61"/>
      <c r="F113" s="61">
        <v>503081</v>
      </c>
      <c r="G113" s="61">
        <f>F113-D113</f>
        <v>24963</v>
      </c>
    </row>
    <row r="114" spans="1:9" hidden="1">
      <c r="D114" s="61"/>
      <c r="E114" s="61"/>
      <c r="F114" s="61"/>
      <c r="G114" s="61"/>
    </row>
    <row r="115" spans="1:9" hidden="1">
      <c r="A115" s="57" t="s">
        <v>157</v>
      </c>
      <c r="B115" s="61" t="s">
        <v>230</v>
      </c>
      <c r="C115" s="61"/>
      <c r="D115" s="61">
        <v>1741243</v>
      </c>
      <c r="E115" s="61"/>
      <c r="F115" s="61">
        <f>1996924+49000</f>
        <v>2045924</v>
      </c>
      <c r="G115" s="61">
        <f>F115-D115</f>
        <v>304681</v>
      </c>
    </row>
    <row r="116" spans="1:9" hidden="1">
      <c r="D116" s="61"/>
      <c r="E116" s="61"/>
      <c r="F116" s="61"/>
      <c r="G116" s="61"/>
    </row>
    <row r="117" spans="1:9" hidden="1">
      <c r="A117" s="57" t="s">
        <v>158</v>
      </c>
      <c r="B117" s="57" t="s">
        <v>231</v>
      </c>
      <c r="D117" s="61">
        <v>349215</v>
      </c>
      <c r="E117" s="61"/>
      <c r="F117" s="61">
        <v>363646</v>
      </c>
      <c r="G117" s="61">
        <f>F117-D117</f>
        <v>14431</v>
      </c>
    </row>
    <row r="118" spans="1:9" hidden="1">
      <c r="D118" s="61"/>
      <c r="E118" s="61"/>
      <c r="F118" s="61"/>
      <c r="G118" s="61"/>
    </row>
    <row r="119" spans="1:9" hidden="1">
      <c r="A119" s="57" t="s">
        <v>309</v>
      </c>
      <c r="B119" s="57" t="s">
        <v>232</v>
      </c>
      <c r="D119" s="61">
        <v>506391</v>
      </c>
      <c r="E119" s="61"/>
      <c r="F119" s="61">
        <v>465739</v>
      </c>
      <c r="G119" s="61">
        <f>F119-D119</f>
        <v>-40652</v>
      </c>
      <c r="H119" s="57">
        <v>541709</v>
      </c>
    </row>
    <row r="120" spans="1:9" hidden="1">
      <c r="D120" s="61"/>
      <c r="E120" s="61"/>
      <c r="F120" s="61"/>
      <c r="G120" s="61"/>
    </row>
    <row r="121" spans="1:9" hidden="1">
      <c r="A121" s="57" t="s">
        <v>310</v>
      </c>
      <c r="B121" s="57" t="s">
        <v>311</v>
      </c>
      <c r="D121" s="61">
        <v>132342</v>
      </c>
      <c r="E121" s="61"/>
      <c r="F121" s="61">
        <v>114637</v>
      </c>
      <c r="G121" s="61"/>
      <c r="I121" s="61"/>
    </row>
    <row r="122" spans="1:9" hidden="1">
      <c r="D122" s="61"/>
      <c r="E122" s="61"/>
      <c r="F122" s="61"/>
      <c r="G122" s="61"/>
    </row>
    <row r="123" spans="1:9" hidden="1">
      <c r="A123" s="57" t="s">
        <v>233</v>
      </c>
      <c r="B123" s="57" t="s">
        <v>234</v>
      </c>
      <c r="D123" s="61">
        <v>17803</v>
      </c>
      <c r="E123" s="61"/>
      <c r="F123" s="61">
        <v>17803</v>
      </c>
      <c r="G123" s="61">
        <f>F123-D123</f>
        <v>0</v>
      </c>
    </row>
    <row r="124" spans="1:9" hidden="1">
      <c r="D124" s="61"/>
      <c r="E124" s="61"/>
      <c r="F124" s="61"/>
      <c r="G124" s="61"/>
    </row>
    <row r="125" spans="1:9" hidden="1">
      <c r="A125" s="57" t="s">
        <v>235</v>
      </c>
      <c r="B125" s="57" t="s">
        <v>236</v>
      </c>
      <c r="D125" s="61">
        <v>603935</v>
      </c>
      <c r="E125" s="61"/>
      <c r="F125" s="61">
        <v>637220</v>
      </c>
      <c r="G125" s="61">
        <f>F125-D125</f>
        <v>33285</v>
      </c>
    </row>
    <row r="126" spans="1:9" hidden="1">
      <c r="D126" s="61"/>
      <c r="E126" s="61"/>
      <c r="F126" s="61"/>
      <c r="G126" s="61"/>
    </row>
    <row r="127" spans="1:9" hidden="1">
      <c r="A127" s="57" t="s">
        <v>237</v>
      </c>
      <c r="B127" s="57" t="s">
        <v>238</v>
      </c>
      <c r="D127" s="61">
        <v>57097</v>
      </c>
      <c r="E127" s="61"/>
      <c r="F127" s="61">
        <v>51897</v>
      </c>
      <c r="G127" s="61">
        <f>F127-D127</f>
        <v>-5200</v>
      </c>
    </row>
    <row r="128" spans="1:9" hidden="1"/>
    <row r="129" spans="1:7" hidden="1">
      <c r="A129" s="57" t="s">
        <v>160</v>
      </c>
      <c r="B129" s="57" t="s">
        <v>239</v>
      </c>
      <c r="D129" s="61">
        <v>406922</v>
      </c>
      <c r="E129" s="61"/>
      <c r="F129" s="61">
        <v>484602</v>
      </c>
      <c r="G129" s="61">
        <f>F129-D129</f>
        <v>77680</v>
      </c>
    </row>
    <row r="130" spans="1:7" hidden="1">
      <c r="D130" s="61"/>
      <c r="E130" s="61"/>
      <c r="F130" s="61"/>
      <c r="G130" s="61"/>
    </row>
    <row r="131" spans="1:7" hidden="1">
      <c r="A131" s="57" t="s">
        <v>240</v>
      </c>
      <c r="B131" s="57" t="s">
        <v>241</v>
      </c>
      <c r="D131" s="61">
        <v>73763</v>
      </c>
      <c r="E131" s="61"/>
      <c r="F131" s="61">
        <f>95777+9904</f>
        <v>105681</v>
      </c>
      <c r="G131" s="61">
        <f>F131-D131</f>
        <v>31918</v>
      </c>
    </row>
    <row r="132" spans="1:7" hidden="1">
      <c r="D132" s="61"/>
      <c r="E132" s="61"/>
      <c r="F132" s="61"/>
      <c r="G132" s="61"/>
    </row>
    <row r="133" spans="1:7" hidden="1">
      <c r="A133" s="57" t="s">
        <v>242</v>
      </c>
      <c r="B133" s="57" t="s">
        <v>243</v>
      </c>
      <c r="D133" s="61">
        <v>23200</v>
      </c>
      <c r="E133" s="61"/>
      <c r="F133" s="61">
        <v>21073</v>
      </c>
      <c r="G133" s="61">
        <f>F133-D133</f>
        <v>-2127</v>
      </c>
    </row>
    <row r="134" spans="1:7" hidden="1">
      <c r="D134" s="61"/>
      <c r="E134" s="61"/>
      <c r="F134" s="61"/>
      <c r="G134" s="61"/>
    </row>
    <row r="135" spans="1:7" hidden="1">
      <c r="A135" s="57" t="s">
        <v>163</v>
      </c>
      <c r="B135" s="57" t="s">
        <v>244</v>
      </c>
      <c r="D135" s="61">
        <v>110591</v>
      </c>
      <c r="E135" s="61"/>
      <c r="F135" s="61">
        <v>110328</v>
      </c>
      <c r="G135" s="61">
        <f>F135-D135</f>
        <v>-263</v>
      </c>
    </row>
    <row r="136" spans="1:7" hidden="1">
      <c r="D136" s="61"/>
      <c r="E136" s="61"/>
      <c r="F136" s="61"/>
      <c r="G136" s="61"/>
    </row>
    <row r="137" spans="1:7" hidden="1">
      <c r="A137" s="57" t="s">
        <v>245</v>
      </c>
      <c r="B137" s="57" t="s">
        <v>246</v>
      </c>
      <c r="D137" s="61">
        <v>20000</v>
      </c>
      <c r="E137" s="61"/>
      <c r="F137" s="61">
        <v>20000</v>
      </c>
      <c r="G137" s="61">
        <f>F137-D137</f>
        <v>0</v>
      </c>
    </row>
    <row r="138" spans="1:7" hidden="1">
      <c r="D138" s="61"/>
      <c r="E138" s="61"/>
      <c r="F138" s="61"/>
      <c r="G138" s="61"/>
    </row>
    <row r="139" spans="1:7" hidden="1">
      <c r="A139" s="57" t="s">
        <v>164</v>
      </c>
      <c r="B139" s="57" t="s">
        <v>247</v>
      </c>
      <c r="D139" s="61">
        <v>37436</v>
      </c>
      <c r="E139" s="61"/>
      <c r="F139" s="61">
        <v>41767</v>
      </c>
      <c r="G139" s="61">
        <f>F139-D139</f>
        <v>4331</v>
      </c>
    </row>
    <row r="140" spans="1:7" hidden="1">
      <c r="D140" s="61"/>
      <c r="E140" s="61"/>
      <c r="F140" s="61"/>
      <c r="G140" s="61"/>
    </row>
    <row r="141" spans="1:7" hidden="1">
      <c r="A141" s="57" t="s">
        <v>248</v>
      </c>
      <c r="B141" s="57" t="s">
        <v>249</v>
      </c>
      <c r="D141" s="61">
        <v>350000</v>
      </c>
      <c r="E141" s="61"/>
      <c r="F141" s="61">
        <v>400000</v>
      </c>
      <c r="G141" s="61">
        <f>F141-D141</f>
        <v>50000</v>
      </c>
    </row>
    <row r="142" spans="1:7" hidden="1">
      <c r="D142" s="61"/>
      <c r="E142" s="61"/>
      <c r="F142" s="61"/>
      <c r="G142" s="61"/>
    </row>
    <row r="143" spans="1:7" hidden="1">
      <c r="A143" s="57" t="s">
        <v>313</v>
      </c>
      <c r="B143" s="57" t="s">
        <v>312</v>
      </c>
      <c r="D143" s="61">
        <v>108305</v>
      </c>
      <c r="E143" s="61"/>
      <c r="F143" s="61">
        <v>105353</v>
      </c>
      <c r="G143" s="61">
        <f>F143-D143</f>
        <v>-2952</v>
      </c>
    </row>
    <row r="144" spans="1:7" hidden="1">
      <c r="D144" s="61"/>
      <c r="E144" s="61"/>
      <c r="F144" s="61"/>
      <c r="G144" s="61"/>
    </row>
    <row r="145" spans="1:7" hidden="1">
      <c r="A145" s="57" t="s">
        <v>250</v>
      </c>
      <c r="B145" s="57" t="s">
        <v>251</v>
      </c>
      <c r="D145" s="61">
        <v>3036128</v>
      </c>
      <c r="E145" s="61"/>
      <c r="F145" s="61">
        <v>3300228</v>
      </c>
      <c r="G145" s="61">
        <f>F145-D145</f>
        <v>264100</v>
      </c>
    </row>
    <row r="146" spans="1:7" hidden="1">
      <c r="D146" s="61"/>
      <c r="E146" s="61"/>
      <c r="F146" s="61"/>
      <c r="G146" s="61"/>
    </row>
    <row r="147" spans="1:7" hidden="1">
      <c r="A147" s="57" t="s">
        <v>175</v>
      </c>
      <c r="B147" s="57" t="s">
        <v>252</v>
      </c>
      <c r="D147" s="61">
        <v>724082</v>
      </c>
      <c r="E147" s="61"/>
      <c r="F147" s="61">
        <v>770311</v>
      </c>
      <c r="G147" s="61">
        <f>F147-D147</f>
        <v>46229</v>
      </c>
    </row>
    <row r="148" spans="1:7" hidden="1">
      <c r="D148" s="61"/>
      <c r="E148" s="61"/>
      <c r="F148" s="61"/>
      <c r="G148" s="61"/>
    </row>
    <row r="149" spans="1:7" hidden="1">
      <c r="A149" s="57" t="s">
        <v>253</v>
      </c>
      <c r="B149" s="57" t="s">
        <v>254</v>
      </c>
      <c r="D149" s="61">
        <v>3460773</v>
      </c>
      <c r="E149" s="61"/>
      <c r="F149" s="61">
        <v>3658834</v>
      </c>
      <c r="G149" s="61">
        <f>F149-D149</f>
        <v>198061</v>
      </c>
    </row>
    <row r="150" spans="1:7" hidden="1">
      <c r="D150" s="61"/>
      <c r="E150" s="61"/>
      <c r="F150" s="61"/>
      <c r="G150" s="61"/>
    </row>
    <row r="151" spans="1:7" hidden="1">
      <c r="D151" s="61"/>
      <c r="E151" s="61"/>
      <c r="F151" s="61"/>
      <c r="G151" s="61"/>
    </row>
    <row r="152" spans="1:7" hidden="1">
      <c r="B152" s="57" t="s">
        <v>255</v>
      </c>
      <c r="D152" s="61">
        <f>SUM(D111:D149)</f>
        <v>23227108</v>
      </c>
      <c r="E152" s="61"/>
      <c r="F152" s="61">
        <f>SUM(F111:F149)</f>
        <v>25096872</v>
      </c>
      <c r="G152" s="61">
        <f>SUM(G111:G149)</f>
        <v>1887469</v>
      </c>
    </row>
    <row r="153" spans="1:7" hidden="1">
      <c r="B153" s="57" t="s">
        <v>256</v>
      </c>
      <c r="D153" s="61">
        <v>109900</v>
      </c>
      <c r="E153" s="61"/>
      <c r="F153" s="61">
        <v>177651</v>
      </c>
      <c r="G153" s="61">
        <f>F153-D153</f>
        <v>67751</v>
      </c>
    </row>
    <row r="154" spans="1:7" hidden="1">
      <c r="B154" s="57" t="s">
        <v>257</v>
      </c>
      <c r="D154" s="61">
        <f>SUM(D152:D153)</f>
        <v>23337008</v>
      </c>
      <c r="E154" s="61"/>
      <c r="F154" s="61">
        <f>SUM(F152:F153)</f>
        <v>25274523</v>
      </c>
      <c r="G154" s="61">
        <f>F154-D154</f>
        <v>1937515</v>
      </c>
    </row>
    <row r="155" spans="1:7" hidden="1">
      <c r="D155" s="61"/>
      <c r="E155" s="61"/>
      <c r="F155" s="61"/>
      <c r="G155" s="61"/>
    </row>
    <row r="156" spans="1:7" hidden="1">
      <c r="D156" s="61"/>
      <c r="E156" s="61"/>
      <c r="F156" s="61"/>
      <c r="G156" s="61"/>
    </row>
    <row r="157" spans="1:7" hidden="1">
      <c r="D157" s="61"/>
      <c r="E157" s="61"/>
      <c r="F157" s="61"/>
      <c r="G157" s="61"/>
    </row>
    <row r="158" spans="1:7" hidden="1">
      <c r="B158" s="57" t="s">
        <v>258</v>
      </c>
      <c r="D158" s="61">
        <v>2800000</v>
      </c>
      <c r="E158" s="61"/>
      <c r="F158" s="61"/>
      <c r="G158" s="61"/>
    </row>
    <row r="159" spans="1:7" hidden="1">
      <c r="B159" s="57" t="s">
        <v>259</v>
      </c>
      <c r="D159" s="61">
        <f>+F108</f>
        <v>25274523</v>
      </c>
      <c r="E159" s="61"/>
      <c r="F159" s="61"/>
      <c r="G159" s="61"/>
    </row>
    <row r="160" spans="1:7" hidden="1">
      <c r="B160" s="57" t="s">
        <v>260</v>
      </c>
      <c r="D160" s="61">
        <f>-F154</f>
        <v>-25274523</v>
      </c>
      <c r="E160" s="61"/>
      <c r="F160" s="61"/>
      <c r="G160" s="61"/>
    </row>
    <row r="161" spans="2:7" hidden="1">
      <c r="B161" s="57" t="s">
        <v>261</v>
      </c>
      <c r="D161" s="61">
        <f>SUM(D158:D160)</f>
        <v>2800000</v>
      </c>
      <c r="E161" s="61"/>
      <c r="F161" s="61"/>
      <c r="G161" s="61"/>
    </row>
    <row r="162" spans="2:7" hidden="1">
      <c r="D162" s="61"/>
      <c r="E162" s="61"/>
      <c r="F162" s="61"/>
      <c r="G162" s="61"/>
    </row>
    <row r="163" spans="2:7" hidden="1">
      <c r="B163" s="57" t="s">
        <v>262</v>
      </c>
      <c r="D163" s="61">
        <f>D161-D158</f>
        <v>0</v>
      </c>
      <c r="E163" s="61"/>
      <c r="F163" s="61"/>
      <c r="G163" s="61"/>
    </row>
    <row r="164" spans="2:7">
      <c r="D164" s="61"/>
      <c r="E164" s="61"/>
      <c r="F164" s="61"/>
      <c r="G164" s="61"/>
    </row>
  </sheetData>
  <sortState ref="I7:I46">
    <sortCondition ref="I7"/>
  </sortState>
  <phoneticPr fontId="16" type="noConversion"/>
  <printOptions horizontalCentered="1" verticalCentered="1"/>
  <pageMargins left="0.7" right="0.7" top="0.75" bottom="0.75" header="0.3" footer="0.3"/>
  <pageSetup scale="90" orientation="portrait" verticalDpi="4294967292" r:id="rId1"/>
  <headerFooter>
    <oddHeader>&amp;C&amp;"Geneva,Bold"&amp;14 14-15 BUDGET - SUMMARY OF SOURCES AND USES OF FUNDS</oddHeader>
    <oddFooter>&amp;CPAGE 5</oddFooter>
  </headerFooter>
  <rowBreaks count="2" manualBreakCount="2">
    <brk id="143" min="1" max="6" man="1"/>
    <brk id="145" min="1"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zoomScaleNormal="100" workbookViewId="0">
      <selection activeCell="B8" sqref="B8"/>
    </sheetView>
  </sheetViews>
  <sheetFormatPr defaultColWidth="11.42578125" defaultRowHeight="12.75"/>
  <cols>
    <col min="1" max="1" width="3.85546875" customWidth="1"/>
    <col min="2" max="2" width="34.5703125" customWidth="1"/>
    <col min="3" max="3" width="15.140625" hidden="1" customWidth="1"/>
    <col min="4" max="4" width="0.5703125" hidden="1" customWidth="1"/>
    <col min="5" max="5" width="18.42578125" hidden="1" customWidth="1"/>
    <col min="6" max="6" width="15" customWidth="1"/>
    <col min="7" max="7" width="16.28515625" customWidth="1"/>
    <col min="8" max="8" width="18.140625" customWidth="1"/>
    <col min="9" max="9" width="15.140625" customWidth="1"/>
    <col min="10" max="10" width="5.7109375" customWidth="1"/>
  </cols>
  <sheetData>
    <row r="1" spans="1:10">
      <c r="A1" s="23"/>
      <c r="B1" s="10"/>
      <c r="C1" s="18" t="s">
        <v>138</v>
      </c>
      <c r="D1" s="16"/>
      <c r="E1" s="16" t="s">
        <v>141</v>
      </c>
      <c r="F1" s="16" t="s">
        <v>348</v>
      </c>
      <c r="G1" s="16" t="s">
        <v>372</v>
      </c>
      <c r="H1" s="16" t="s">
        <v>143</v>
      </c>
      <c r="I1" s="16" t="s">
        <v>144</v>
      </c>
    </row>
    <row r="2" spans="1:10">
      <c r="A2" s="109" t="s">
        <v>453</v>
      </c>
      <c r="B2" s="111"/>
      <c r="C2" s="18" t="s">
        <v>0</v>
      </c>
      <c r="D2" s="18"/>
      <c r="E2" s="18" t="s">
        <v>0</v>
      </c>
      <c r="F2" s="107" t="s">
        <v>0</v>
      </c>
      <c r="G2" s="107" t="s">
        <v>0</v>
      </c>
      <c r="H2" s="107" t="s">
        <v>1</v>
      </c>
      <c r="I2" s="107" t="s">
        <v>1</v>
      </c>
    </row>
    <row r="3" spans="1:10">
      <c r="A3" s="10"/>
      <c r="B3" s="105" t="s">
        <v>454</v>
      </c>
      <c r="C3" s="16" t="s">
        <v>139</v>
      </c>
      <c r="D3" s="16"/>
      <c r="E3" s="16"/>
      <c r="F3" s="16">
        <v>2119</v>
      </c>
      <c r="G3" s="16">
        <v>2141</v>
      </c>
      <c r="H3" s="16"/>
      <c r="I3" s="46"/>
    </row>
    <row r="4" spans="1:10">
      <c r="A4" t="s">
        <v>28</v>
      </c>
    </row>
    <row r="5" spans="1:10">
      <c r="A5" t="s">
        <v>29</v>
      </c>
      <c r="C5" s="4">
        <v>1941739</v>
      </c>
      <c r="D5" s="5"/>
      <c r="E5" s="5">
        <f>2220000+122500</f>
        <v>2342500</v>
      </c>
      <c r="F5" s="79">
        <v>3250082</v>
      </c>
      <c r="G5" s="79">
        <f>'SOURCE-USE'!F58+'SOURCE-USE'!F59</f>
        <v>3587708</v>
      </c>
      <c r="H5" s="5">
        <f t="shared" ref="H5:H13" si="0">G5-F5</f>
        <v>337626</v>
      </c>
      <c r="I5" s="43">
        <f t="shared" ref="I5:I13" si="1">H5/F5</f>
        <v>0.10388230204653298</v>
      </c>
      <c r="J5">
        <v>1</v>
      </c>
    </row>
    <row r="6" spans="1:10">
      <c r="A6" t="s">
        <v>30</v>
      </c>
      <c r="C6" s="4">
        <v>1000</v>
      </c>
      <c r="D6" s="5"/>
      <c r="E6" s="5">
        <v>500</v>
      </c>
      <c r="F6" s="4">
        <v>38000</v>
      </c>
      <c r="G6" s="4">
        <f>'SOURCE-USE'!F60</f>
        <v>42000</v>
      </c>
      <c r="H6" s="5">
        <f t="shared" si="0"/>
        <v>4000</v>
      </c>
      <c r="I6" s="43">
        <f t="shared" si="1"/>
        <v>0.10526315789473684</v>
      </c>
    </row>
    <row r="7" spans="1:10">
      <c r="A7" t="s">
        <v>318</v>
      </c>
      <c r="C7" s="4">
        <v>141000</v>
      </c>
      <c r="D7" s="5"/>
      <c r="E7" s="5">
        <v>150100</v>
      </c>
      <c r="F7" s="4">
        <v>93768</v>
      </c>
      <c r="G7" s="4">
        <f>'SOURCE-USE'!F61+'SOURCE-USE'!F62</f>
        <v>102200</v>
      </c>
      <c r="H7" s="5">
        <f t="shared" si="0"/>
        <v>8432</v>
      </c>
      <c r="I7" s="43">
        <f t="shared" si="1"/>
        <v>8.9924067912294167E-2</v>
      </c>
      <c r="J7">
        <v>2</v>
      </c>
    </row>
    <row r="8" spans="1:10">
      <c r="A8" t="s">
        <v>35</v>
      </c>
      <c r="C8" s="4">
        <v>288000</v>
      </c>
      <c r="D8" s="5"/>
      <c r="E8" s="5">
        <v>299655</v>
      </c>
      <c r="F8" s="4">
        <v>183940</v>
      </c>
      <c r="G8" s="4">
        <f>'SOURCE-USE'!F64</f>
        <v>179149</v>
      </c>
      <c r="H8" s="5">
        <f t="shared" si="0"/>
        <v>-4791</v>
      </c>
      <c r="I8" s="43">
        <f t="shared" si="1"/>
        <v>-2.6046536914211157E-2</v>
      </c>
      <c r="J8">
        <v>3</v>
      </c>
    </row>
    <row r="9" spans="1:10">
      <c r="A9" t="s">
        <v>36</v>
      </c>
      <c r="C9" s="4">
        <v>9000</v>
      </c>
      <c r="D9" s="5"/>
      <c r="E9" s="5">
        <v>23000</v>
      </c>
      <c r="F9" s="4">
        <v>3500</v>
      </c>
      <c r="G9" s="4">
        <f>'SOURCE-USE'!F65</f>
        <v>3500</v>
      </c>
      <c r="H9" s="5">
        <f t="shared" si="0"/>
        <v>0</v>
      </c>
      <c r="I9" s="43">
        <f t="shared" si="1"/>
        <v>0</v>
      </c>
    </row>
    <row r="10" spans="1:10">
      <c r="A10" t="s">
        <v>37</v>
      </c>
      <c r="C10" s="4">
        <v>2500</v>
      </c>
      <c r="D10" s="5"/>
      <c r="E10" s="5">
        <v>250</v>
      </c>
      <c r="F10" s="4">
        <v>500</v>
      </c>
      <c r="G10" s="4">
        <f>'SOURCE-USE'!F67</f>
        <v>500</v>
      </c>
      <c r="H10" s="5">
        <f t="shared" si="0"/>
        <v>0</v>
      </c>
      <c r="I10" s="43">
        <f t="shared" si="1"/>
        <v>0</v>
      </c>
    </row>
    <row r="11" spans="1:10">
      <c r="A11" t="s">
        <v>58</v>
      </c>
      <c r="C11" s="4">
        <v>12000</v>
      </c>
      <c r="D11" s="5"/>
      <c r="E11" s="5">
        <v>10500</v>
      </c>
      <c r="F11" s="4">
        <v>20000</v>
      </c>
      <c r="G11" s="4">
        <f>'SOURCE-USE'!F66</f>
        <v>20000</v>
      </c>
      <c r="H11" s="5">
        <f t="shared" si="0"/>
        <v>0</v>
      </c>
      <c r="I11" s="43">
        <f t="shared" si="1"/>
        <v>0</v>
      </c>
    </row>
    <row r="12" spans="1:10">
      <c r="A12" t="s">
        <v>38</v>
      </c>
      <c r="C12" s="6">
        <v>25000</v>
      </c>
      <c r="D12" s="7"/>
      <c r="E12" s="7">
        <f>2441+14000</f>
        <v>16441</v>
      </c>
      <c r="F12" s="6">
        <v>19000</v>
      </c>
      <c r="G12" s="6">
        <f>'SOURCE-USE'!F69+'SOURCE-USE'!F70</f>
        <v>26000</v>
      </c>
      <c r="H12" s="7">
        <f t="shared" si="0"/>
        <v>7000</v>
      </c>
      <c r="I12" s="44">
        <f t="shared" si="1"/>
        <v>0.36842105263157893</v>
      </c>
    </row>
    <row r="13" spans="1:10">
      <c r="A13" t="s">
        <v>39</v>
      </c>
      <c r="C13" s="4">
        <v>2420739</v>
      </c>
      <c r="D13" s="5"/>
      <c r="E13" s="5">
        <f>SUM(E5:E12)</f>
        <v>2842946</v>
      </c>
      <c r="F13" s="4">
        <f>SUM(F5:F12)</f>
        <v>3608790</v>
      </c>
      <c r="G13" s="4">
        <f>SUM(G5:G12)</f>
        <v>3961057</v>
      </c>
      <c r="H13" s="5">
        <f t="shared" si="0"/>
        <v>352267</v>
      </c>
      <c r="I13" s="43">
        <f t="shared" si="1"/>
        <v>9.7613604559977168E-2</v>
      </c>
    </row>
    <row r="14" spans="1:10">
      <c r="C14" s="4"/>
      <c r="D14" s="5"/>
      <c r="E14" s="5"/>
      <c r="F14" s="4"/>
      <c r="G14" s="4"/>
      <c r="H14" s="5" t="s">
        <v>5</v>
      </c>
      <c r="I14" s="43"/>
    </row>
    <row r="15" spans="1:10">
      <c r="A15" t="s">
        <v>40</v>
      </c>
      <c r="C15" s="4"/>
      <c r="D15" s="5"/>
      <c r="E15" s="5"/>
      <c r="F15" s="4"/>
      <c r="G15" s="4"/>
      <c r="H15" s="5" t="s">
        <v>5</v>
      </c>
      <c r="I15" s="43"/>
    </row>
    <row r="16" spans="1:10">
      <c r="A16" t="s">
        <v>41</v>
      </c>
      <c r="C16" s="4">
        <v>8707165</v>
      </c>
      <c r="D16" s="5"/>
      <c r="E16" s="5">
        <v>10079420</v>
      </c>
      <c r="F16" s="4">
        <v>11611248</v>
      </c>
      <c r="G16" s="4">
        <f>'SOURCE-USE'!F72</f>
        <v>12143682</v>
      </c>
      <c r="H16" s="5">
        <f t="shared" ref="H16:H26" si="2">G16-F16</f>
        <v>532434</v>
      </c>
      <c r="I16" s="43">
        <f t="shared" ref="I16:I26" si="3">H16/F16</f>
        <v>4.5855019202070267E-2</v>
      </c>
      <c r="J16">
        <v>4</v>
      </c>
    </row>
    <row r="17" spans="1:10">
      <c r="A17" t="s">
        <v>133</v>
      </c>
      <c r="C17" s="4">
        <v>0</v>
      </c>
      <c r="D17" s="5"/>
      <c r="E17" s="5">
        <v>223379</v>
      </c>
      <c r="F17" s="4">
        <v>238198</v>
      </c>
      <c r="G17" s="4">
        <f>'SOURCE-USE'!F73</f>
        <v>284384</v>
      </c>
      <c r="H17" s="5">
        <f t="shared" si="2"/>
        <v>46186</v>
      </c>
      <c r="I17" s="43">
        <f t="shared" si="3"/>
        <v>0.19389751383302967</v>
      </c>
      <c r="J17">
        <v>4</v>
      </c>
    </row>
    <row r="18" spans="1:10">
      <c r="A18" t="s">
        <v>42</v>
      </c>
      <c r="C18" s="4">
        <v>210176</v>
      </c>
      <c r="D18" s="5"/>
      <c r="E18" s="5">
        <v>408356</v>
      </c>
      <c r="F18" s="4">
        <v>627000</v>
      </c>
      <c r="G18" s="4">
        <f>'SOURCE-USE'!F74</f>
        <v>814333</v>
      </c>
      <c r="H18" s="5">
        <f t="shared" si="2"/>
        <v>187333</v>
      </c>
      <c r="I18" s="43">
        <f t="shared" si="3"/>
        <v>0.29877671451355664</v>
      </c>
      <c r="J18">
        <v>5</v>
      </c>
    </row>
    <row r="19" spans="1:10">
      <c r="A19" t="s">
        <v>43</v>
      </c>
      <c r="C19" s="4">
        <v>900183</v>
      </c>
      <c r="D19" s="5"/>
      <c r="E19" s="5">
        <v>1000332</v>
      </c>
      <c r="F19" s="4">
        <v>1094383</v>
      </c>
      <c r="G19" s="4">
        <f>'SOURCE-USE'!F76+'SOURCE-USE'!F77+'SOURCE-USE'!F97</f>
        <v>1362977</v>
      </c>
      <c r="H19" s="5">
        <f t="shared" si="2"/>
        <v>268594</v>
      </c>
      <c r="I19" s="43">
        <f t="shared" si="3"/>
        <v>0.24542961650537334</v>
      </c>
    </row>
    <row r="20" spans="1:10">
      <c r="A20" t="s">
        <v>44</v>
      </c>
      <c r="C20" s="4">
        <v>139292</v>
      </c>
      <c r="D20" s="5"/>
      <c r="E20" s="5">
        <v>151734</v>
      </c>
      <c r="F20" s="4">
        <v>430076</v>
      </c>
      <c r="G20" s="4">
        <f>'SOURCE-USE'!F78</f>
        <v>499386</v>
      </c>
      <c r="H20" s="5">
        <f t="shared" si="2"/>
        <v>69310</v>
      </c>
      <c r="I20" s="43">
        <f t="shared" si="3"/>
        <v>0.16115756284935687</v>
      </c>
      <c r="J20">
        <v>5</v>
      </c>
    </row>
    <row r="21" spans="1:10">
      <c r="A21" t="s">
        <v>59</v>
      </c>
      <c r="C21" s="4">
        <v>5900</v>
      </c>
      <c r="D21" s="5"/>
      <c r="E21" s="5">
        <f>15304+37000+6225+46384+60620</f>
        <v>165533</v>
      </c>
      <c r="F21" s="4">
        <v>67800</v>
      </c>
      <c r="G21" s="4">
        <f>'SOURCE-USE'!F79</f>
        <v>104104</v>
      </c>
      <c r="H21" s="5">
        <f t="shared" si="2"/>
        <v>36304</v>
      </c>
      <c r="I21" s="43">
        <f t="shared" si="3"/>
        <v>0.53545722713864308</v>
      </c>
      <c r="J21">
        <v>6</v>
      </c>
    </row>
    <row r="22" spans="1:10">
      <c r="A22" t="s">
        <v>45</v>
      </c>
      <c r="C22" s="4">
        <v>57275</v>
      </c>
      <c r="D22" s="5"/>
      <c r="E22" s="5">
        <v>83495</v>
      </c>
      <c r="F22" s="4">
        <v>121738</v>
      </c>
      <c r="G22" s="4">
        <f>'SOURCE-USE'!F80</f>
        <v>115853</v>
      </c>
      <c r="H22" s="5">
        <f t="shared" si="2"/>
        <v>-5885</v>
      </c>
      <c r="I22" s="43">
        <f t="shared" si="3"/>
        <v>-4.8341520314117203E-2</v>
      </c>
    </row>
    <row r="23" spans="1:10">
      <c r="A23" t="s">
        <v>46</v>
      </c>
      <c r="C23" s="4">
        <v>14101</v>
      </c>
      <c r="D23" s="5"/>
      <c r="E23" s="5">
        <v>18962</v>
      </c>
      <c r="F23" s="4">
        <v>20558</v>
      </c>
      <c r="G23" s="4">
        <f>'SOURCE-USE'!F81</f>
        <v>20674</v>
      </c>
      <c r="H23" s="5">
        <f t="shared" si="2"/>
        <v>116</v>
      </c>
      <c r="I23" s="43">
        <f t="shared" si="3"/>
        <v>5.6425722346531764E-3</v>
      </c>
    </row>
    <row r="24" spans="1:10">
      <c r="A24" t="s">
        <v>47</v>
      </c>
      <c r="C24" s="4">
        <v>10675</v>
      </c>
      <c r="D24" s="5"/>
      <c r="E24" s="5">
        <v>17879</v>
      </c>
      <c r="F24" s="4">
        <v>6984</v>
      </c>
      <c r="G24" s="4">
        <f>'SOURCE-USE'!F82</f>
        <v>8693</v>
      </c>
      <c r="H24" s="5">
        <f t="shared" si="2"/>
        <v>1709</v>
      </c>
      <c r="I24" s="43">
        <f t="shared" si="3"/>
        <v>0.24470217640320732</v>
      </c>
    </row>
    <row r="25" spans="1:10">
      <c r="A25" t="s">
        <v>48</v>
      </c>
      <c r="C25" s="6">
        <v>1240000</v>
      </c>
      <c r="D25" s="7"/>
      <c r="E25" s="7">
        <v>1634436</v>
      </c>
      <c r="F25" s="6">
        <v>2544000</v>
      </c>
      <c r="G25" s="6">
        <f>'SOURCE-USE'!F83</f>
        <v>3085000</v>
      </c>
      <c r="H25" s="7">
        <f t="shared" si="2"/>
        <v>541000</v>
      </c>
      <c r="I25" s="44">
        <f t="shared" si="3"/>
        <v>0.21265723270440251</v>
      </c>
      <c r="J25">
        <v>7</v>
      </c>
    </row>
    <row r="26" spans="1:10">
      <c r="A26" t="s">
        <v>49</v>
      </c>
      <c r="C26" s="4">
        <v>11869767</v>
      </c>
      <c r="D26" s="5"/>
      <c r="E26" s="5">
        <f>SUM(E16:E25)</f>
        <v>13783526</v>
      </c>
      <c r="F26" s="4">
        <f>SUM(F16:F25)</f>
        <v>16761985</v>
      </c>
      <c r="G26" s="4">
        <f>SUM(G16:G25)</f>
        <v>18439086</v>
      </c>
      <c r="H26" s="5">
        <f t="shared" si="2"/>
        <v>1677101</v>
      </c>
      <c r="I26" s="43">
        <f t="shared" si="3"/>
        <v>0.10005384207180713</v>
      </c>
    </row>
    <row r="27" spans="1:10">
      <c r="C27" s="4"/>
      <c r="D27" s="5"/>
      <c r="E27" s="5"/>
      <c r="F27" s="4"/>
      <c r="G27" s="4"/>
      <c r="H27" s="5" t="s">
        <v>5</v>
      </c>
      <c r="I27" s="43"/>
    </row>
    <row r="28" spans="1:10">
      <c r="A28" t="s">
        <v>50</v>
      </c>
      <c r="C28" s="4"/>
      <c r="D28" s="5"/>
      <c r="E28" s="5"/>
      <c r="F28" s="4"/>
      <c r="G28" s="4"/>
      <c r="H28" s="5" t="s">
        <v>5</v>
      </c>
      <c r="I28" s="43"/>
    </row>
    <row r="29" spans="1:10">
      <c r="A29" t="s">
        <v>51</v>
      </c>
      <c r="C29" s="4">
        <v>150000</v>
      </c>
      <c r="D29" s="5"/>
      <c r="E29" s="5">
        <v>0</v>
      </c>
      <c r="F29" s="4">
        <v>400000</v>
      </c>
      <c r="G29" s="4">
        <f>'SOURCE-USE'!F85+'SOURCE-USE'!F96</f>
        <v>400000</v>
      </c>
      <c r="H29" s="5">
        <f t="shared" ref="H29:H38" si="4">G29-F29</f>
        <v>0</v>
      </c>
      <c r="I29" s="43">
        <f t="shared" ref="I29:I38" si="5">H29/F29</f>
        <v>0</v>
      </c>
    </row>
    <row r="30" spans="1:10">
      <c r="A30" t="s">
        <v>338</v>
      </c>
      <c r="C30" s="4">
        <v>73881</v>
      </c>
      <c r="D30" s="5"/>
      <c r="E30" s="5" t="e">
        <f>74532-#REF!</f>
        <v>#REF!</v>
      </c>
      <c r="F30" s="4">
        <v>58748</v>
      </c>
      <c r="G30" s="4">
        <f>'SOURCE-USE'!F89+'SOURCE-USE'!F93</f>
        <v>53500</v>
      </c>
      <c r="H30" s="5">
        <f t="shared" si="4"/>
        <v>-5248</v>
      </c>
      <c r="I30" s="43">
        <f t="shared" si="5"/>
        <v>-8.9330700619595554E-2</v>
      </c>
    </row>
    <row r="31" spans="1:10">
      <c r="A31" t="s">
        <v>339</v>
      </c>
      <c r="C31" s="4">
        <v>343966</v>
      </c>
      <c r="D31" s="5"/>
      <c r="E31" s="5">
        <v>385809</v>
      </c>
      <c r="F31" s="4">
        <v>361580</v>
      </c>
      <c r="G31" s="4">
        <f>'SOURCE-USE'!F88+'SOURCE-USE'!F90</f>
        <v>373968</v>
      </c>
      <c r="H31" s="5">
        <f t="shared" si="4"/>
        <v>12388</v>
      </c>
      <c r="I31" s="43">
        <f t="shared" si="5"/>
        <v>3.4260744510205207E-2</v>
      </c>
    </row>
    <row r="32" spans="1:10">
      <c r="A32" t="s">
        <v>52</v>
      </c>
      <c r="C32" s="4">
        <v>12500</v>
      </c>
      <c r="D32" s="5"/>
      <c r="E32" s="5">
        <v>11203</v>
      </c>
      <c r="F32" s="4">
        <v>17803</v>
      </c>
      <c r="G32" s="4">
        <f>'SOURCE-USE'!F91</f>
        <v>17803</v>
      </c>
      <c r="H32" s="5">
        <f t="shared" si="4"/>
        <v>0</v>
      </c>
      <c r="I32" s="43">
        <f t="shared" si="5"/>
        <v>0</v>
      </c>
    </row>
    <row r="33" spans="1:10">
      <c r="A33" t="s">
        <v>340</v>
      </c>
      <c r="C33" s="4">
        <v>208463</v>
      </c>
      <c r="D33" s="5"/>
      <c r="E33" s="5">
        <v>223288</v>
      </c>
      <c r="F33" s="4">
        <v>615000</v>
      </c>
      <c r="G33" s="4">
        <f>'SOURCE-USE'!F86+'SOURCE-USE'!F92</f>
        <v>655136</v>
      </c>
      <c r="H33" s="5">
        <f t="shared" si="4"/>
        <v>40136</v>
      </c>
      <c r="I33" s="43">
        <f t="shared" si="5"/>
        <v>6.5261788617886174E-2</v>
      </c>
      <c r="J33">
        <v>8</v>
      </c>
    </row>
    <row r="34" spans="1:10">
      <c r="A34" t="s">
        <v>31</v>
      </c>
      <c r="C34" s="4">
        <v>15000</v>
      </c>
      <c r="D34" s="5"/>
      <c r="E34" s="5">
        <v>22497</v>
      </c>
      <c r="F34" s="4">
        <v>23650</v>
      </c>
      <c r="G34" s="4">
        <f>'SOURCE-USE'!F94</f>
        <v>21570</v>
      </c>
      <c r="H34" s="5">
        <f t="shared" si="4"/>
        <v>-2080</v>
      </c>
      <c r="I34" s="43">
        <f t="shared" si="5"/>
        <v>-8.7949260042283303E-2</v>
      </c>
    </row>
    <row r="35" spans="1:10">
      <c r="A35" t="s">
        <v>47</v>
      </c>
      <c r="C35" s="4">
        <v>246000</v>
      </c>
      <c r="D35" s="5"/>
      <c r="E35" s="5">
        <v>303000</v>
      </c>
      <c r="F35" s="4">
        <v>468055</v>
      </c>
      <c r="G35" s="4">
        <f>'SOURCE-USE'!F95</f>
        <v>534187</v>
      </c>
      <c r="H35" s="5">
        <f t="shared" si="4"/>
        <v>66132</v>
      </c>
      <c r="I35" s="43">
        <f t="shared" si="5"/>
        <v>0.14129108758586065</v>
      </c>
      <c r="J35">
        <v>9</v>
      </c>
    </row>
    <row r="36" spans="1:10">
      <c r="A36" t="s">
        <v>32</v>
      </c>
      <c r="C36" s="4">
        <v>28000</v>
      </c>
      <c r="D36" s="5"/>
      <c r="E36" s="5">
        <v>42000</v>
      </c>
      <c r="F36" s="4">
        <v>34700</v>
      </c>
      <c r="G36" s="4">
        <f>'SOURCE-USE'!F71</f>
        <v>21000</v>
      </c>
      <c r="H36" s="5">
        <f t="shared" si="4"/>
        <v>-13700</v>
      </c>
      <c r="I36" s="43">
        <f t="shared" si="5"/>
        <v>-0.39481268011527376</v>
      </c>
      <c r="J36">
        <v>10</v>
      </c>
    </row>
    <row r="37" spans="1:10">
      <c r="A37" t="s">
        <v>53</v>
      </c>
      <c r="C37" s="6">
        <v>41000</v>
      </c>
      <c r="D37" s="7"/>
      <c r="E37" s="7">
        <v>41000</v>
      </c>
      <c r="F37" s="6">
        <v>44350</v>
      </c>
      <c r="G37" s="6">
        <f>'SOURCE-USE'!F98</f>
        <v>45644</v>
      </c>
      <c r="H37" s="7">
        <f t="shared" si="4"/>
        <v>1294</v>
      </c>
      <c r="I37" s="44">
        <f t="shared" si="5"/>
        <v>2.9177001127395717E-2</v>
      </c>
    </row>
    <row r="38" spans="1:10">
      <c r="A38" t="s">
        <v>54</v>
      </c>
      <c r="C38" s="4">
        <v>1136810</v>
      </c>
      <c r="D38" s="5"/>
      <c r="E38" s="5" t="e">
        <f>SUM(E29:E37)</f>
        <v>#REF!</v>
      </c>
      <c r="F38" s="4">
        <f>SUM(F29:F37)</f>
        <v>2023886</v>
      </c>
      <c r="G38" s="4">
        <f>SUM(G29:G37)</f>
        <v>2122808</v>
      </c>
      <c r="H38" s="5">
        <f t="shared" si="4"/>
        <v>98922</v>
      </c>
      <c r="I38" s="45">
        <f t="shared" si="5"/>
        <v>4.8877258896993209E-2</v>
      </c>
    </row>
    <row r="39" spans="1:10">
      <c r="C39" s="4"/>
      <c r="D39" s="5"/>
      <c r="E39" s="5"/>
      <c r="F39" s="4"/>
      <c r="G39" s="4"/>
      <c r="H39" s="5" t="s">
        <v>5</v>
      </c>
      <c r="I39" s="43"/>
    </row>
    <row r="40" spans="1:10">
      <c r="A40" t="s">
        <v>60</v>
      </c>
      <c r="C40" s="4"/>
      <c r="D40" s="5"/>
      <c r="E40" s="5"/>
      <c r="F40" s="4"/>
      <c r="G40" s="4"/>
      <c r="H40" s="5" t="s">
        <v>5</v>
      </c>
      <c r="I40" s="43"/>
    </row>
    <row r="41" spans="1:10">
      <c r="A41" t="s">
        <v>48</v>
      </c>
      <c r="C41" s="4">
        <v>613600</v>
      </c>
      <c r="D41" s="5"/>
      <c r="E41" s="5">
        <f>558550+151500+69000</f>
        <v>779050</v>
      </c>
      <c r="F41" s="4">
        <v>829280</v>
      </c>
      <c r="G41" s="4">
        <f>'SOURCE-USE'!F99+'SOURCE-USE'!F101+'SOURCE-USE'!F102+'SOURCE-USE'!F100</f>
        <v>617119</v>
      </c>
      <c r="H41" s="5">
        <f>G41-F41</f>
        <v>-212161</v>
      </c>
      <c r="I41" s="43">
        <f>H41/F41</f>
        <v>-0.25583759405749568</v>
      </c>
      <c r="J41">
        <v>11</v>
      </c>
    </row>
    <row r="42" spans="1:10">
      <c r="A42" t="s">
        <v>317</v>
      </c>
      <c r="C42" s="4"/>
      <c r="D42" s="5"/>
      <c r="E42" s="5"/>
      <c r="F42" s="4">
        <v>164500</v>
      </c>
      <c r="G42" s="4">
        <f>'SOURCE-USE'!F104</f>
        <v>119453</v>
      </c>
      <c r="H42" s="5">
        <f>G42-F42</f>
        <v>-45047</v>
      </c>
      <c r="I42" s="43">
        <f>H42/F42</f>
        <v>-0.27384194528875377</v>
      </c>
      <c r="J42">
        <v>12</v>
      </c>
    </row>
    <row r="43" spans="1:10">
      <c r="A43" t="s">
        <v>55</v>
      </c>
      <c r="C43" s="6">
        <v>26000</v>
      </c>
      <c r="D43" s="7"/>
      <c r="E43" s="7">
        <v>14400</v>
      </c>
      <c r="F43" s="6">
        <v>6500</v>
      </c>
      <c r="G43" s="6">
        <f>'SOURCE-USE'!F103</f>
        <v>15000</v>
      </c>
      <c r="H43" s="7">
        <f>G43-F43</f>
        <v>8500</v>
      </c>
      <c r="I43" s="44">
        <f>H43/F43</f>
        <v>1.3076923076923077</v>
      </c>
    </row>
    <row r="44" spans="1:10">
      <c r="A44" t="s">
        <v>56</v>
      </c>
      <c r="C44" s="4">
        <v>639600</v>
      </c>
      <c r="D44" s="5"/>
      <c r="E44" s="5">
        <f>SUM(E41:E43)</f>
        <v>793450</v>
      </c>
      <c r="F44" s="4">
        <f>SUM(F41:F43)</f>
        <v>1000280</v>
      </c>
      <c r="G44" s="4">
        <f>SUM(G41:G43)</f>
        <v>751572</v>
      </c>
      <c r="H44" s="5">
        <f>G44-F44</f>
        <v>-248708</v>
      </c>
      <c r="I44" s="43">
        <f>H44/F44</f>
        <v>-0.24863838125324908</v>
      </c>
    </row>
    <row r="45" spans="1:10">
      <c r="C45" s="4"/>
      <c r="D45" s="5"/>
      <c r="E45" s="5"/>
      <c r="F45" s="4"/>
      <c r="G45" s="4"/>
      <c r="H45" s="5"/>
      <c r="I45" s="43"/>
    </row>
    <row r="46" spans="1:10">
      <c r="A46" t="s">
        <v>5</v>
      </c>
      <c r="C46" s="4"/>
      <c r="D46" s="5"/>
      <c r="E46" s="5"/>
      <c r="F46" s="4"/>
      <c r="G46" s="4"/>
      <c r="H46" s="5" t="s">
        <v>5</v>
      </c>
      <c r="I46" s="43"/>
      <c r="J46" s="4"/>
    </row>
    <row r="47" spans="1:10">
      <c r="A47" t="s">
        <v>57</v>
      </c>
      <c r="C47" s="5">
        <v>16066916</v>
      </c>
      <c r="D47" s="5"/>
      <c r="E47" s="5" t="e">
        <f>E44+E38+E26+E13</f>
        <v>#REF!</v>
      </c>
      <c r="F47" s="5">
        <f>F44+F38+F26+F13</f>
        <v>23394941</v>
      </c>
      <c r="G47" s="96">
        <f t="shared" ref="G47:H47" si="6">G44+G38+G26+G13</f>
        <v>25274523</v>
      </c>
      <c r="H47" s="96">
        <f t="shared" si="6"/>
        <v>1879582</v>
      </c>
      <c r="I47" s="22">
        <f>'SOURCE-USE'!F106-'REV COMP'!G47</f>
        <v>0</v>
      </c>
    </row>
    <row r="49" spans="1:10">
      <c r="A49" t="s">
        <v>387</v>
      </c>
      <c r="C49" s="9"/>
      <c r="G49" s="4"/>
      <c r="H49" s="47">
        <f>H47/F47</f>
        <v>8.034138662713447E-2</v>
      </c>
    </row>
    <row r="50" spans="1:10">
      <c r="C50" s="9"/>
      <c r="G50" s="4"/>
      <c r="H50" s="47"/>
    </row>
    <row r="51" spans="1:10">
      <c r="A51" s="97" t="s">
        <v>264</v>
      </c>
      <c r="B51" s="95"/>
      <c r="C51" s="95"/>
      <c r="D51" s="98"/>
      <c r="E51" s="95"/>
      <c r="F51" s="98"/>
      <c r="G51" s="95"/>
      <c r="H51" s="95"/>
      <c r="I51" s="95"/>
      <c r="J51" s="95"/>
    </row>
    <row r="52" spans="1:10">
      <c r="A52" s="103">
        <v>1</v>
      </c>
      <c r="B52" s="95" t="s">
        <v>388</v>
      </c>
      <c r="C52" s="95"/>
      <c r="D52" s="98"/>
      <c r="E52" s="95"/>
      <c r="F52" s="98"/>
      <c r="G52" s="95"/>
      <c r="H52" s="95"/>
      <c r="I52" s="95"/>
      <c r="J52" s="95"/>
    </row>
    <row r="53" spans="1:10" ht="14.45" customHeight="1">
      <c r="A53" s="99">
        <v>2</v>
      </c>
      <c r="B53" s="95" t="s">
        <v>389</v>
      </c>
      <c r="C53" s="95"/>
      <c r="D53" s="98"/>
      <c r="E53" s="95"/>
      <c r="F53" s="98"/>
      <c r="G53" s="95"/>
      <c r="H53" s="95"/>
      <c r="I53" s="95"/>
      <c r="J53" s="95"/>
    </row>
    <row r="54" spans="1:10">
      <c r="A54" s="99">
        <v>3</v>
      </c>
      <c r="B54" s="100" t="s">
        <v>390</v>
      </c>
      <c r="C54" s="100"/>
      <c r="D54" s="100"/>
      <c r="E54" s="100"/>
      <c r="F54" s="100"/>
      <c r="G54" s="100"/>
      <c r="H54" s="100"/>
      <c r="I54" s="100"/>
      <c r="J54" s="100"/>
    </row>
    <row r="55" spans="1:10">
      <c r="A55" s="99">
        <v>4</v>
      </c>
      <c r="B55" s="95" t="s">
        <v>357</v>
      </c>
      <c r="C55" s="95"/>
      <c r="D55" s="98"/>
      <c r="E55" s="95"/>
      <c r="F55" s="98"/>
      <c r="G55" s="95"/>
      <c r="H55" s="95"/>
      <c r="I55" s="95"/>
      <c r="J55" s="95"/>
    </row>
    <row r="56" spans="1:10" ht="14.45" customHeight="1">
      <c r="A56" s="99">
        <v>5</v>
      </c>
      <c r="B56" s="95" t="s">
        <v>358</v>
      </c>
      <c r="C56" s="95"/>
      <c r="D56" s="98"/>
      <c r="E56" s="95"/>
      <c r="F56" s="98"/>
      <c r="G56" s="95"/>
      <c r="H56" s="95"/>
      <c r="I56" s="95"/>
      <c r="J56" s="95"/>
    </row>
    <row r="57" spans="1:10" ht="13.15" customHeight="1">
      <c r="A57" s="101">
        <v>5</v>
      </c>
      <c r="B57" s="113" t="s">
        <v>359</v>
      </c>
      <c r="C57" s="113"/>
      <c r="D57" s="113"/>
      <c r="E57" s="113"/>
      <c r="F57" s="113"/>
      <c r="G57" s="113"/>
      <c r="H57" s="113"/>
      <c r="I57" s="113"/>
      <c r="J57" s="113"/>
    </row>
    <row r="58" spans="1:10">
      <c r="A58" s="101">
        <v>6</v>
      </c>
      <c r="B58" s="95" t="s">
        <v>391</v>
      </c>
      <c r="C58" s="95"/>
      <c r="D58" s="98"/>
      <c r="E58" s="95"/>
      <c r="F58" s="98"/>
      <c r="G58" s="95"/>
      <c r="H58" s="95"/>
      <c r="I58" s="95"/>
      <c r="J58" s="95"/>
    </row>
    <row r="59" spans="1:10">
      <c r="A59" s="101">
        <v>7</v>
      </c>
      <c r="B59" s="95" t="s">
        <v>392</v>
      </c>
      <c r="C59" s="95"/>
      <c r="D59" s="98"/>
      <c r="E59" s="95"/>
      <c r="F59" s="98"/>
      <c r="G59" s="95"/>
      <c r="H59" s="95"/>
      <c r="I59" s="95"/>
      <c r="J59" s="95"/>
    </row>
    <row r="60" spans="1:10">
      <c r="A60" s="101">
        <v>8</v>
      </c>
      <c r="B60" s="102" t="s">
        <v>393</v>
      </c>
      <c r="C60" s="95"/>
      <c r="D60" s="98"/>
      <c r="E60" s="95"/>
      <c r="F60" s="98"/>
      <c r="G60" s="95"/>
      <c r="H60" s="95"/>
      <c r="I60" s="95"/>
      <c r="J60" s="95"/>
    </row>
    <row r="61" spans="1:10">
      <c r="A61" s="95"/>
      <c r="B61" s="95" t="s">
        <v>394</v>
      </c>
      <c r="C61" s="95"/>
      <c r="D61" s="95"/>
      <c r="E61" s="95"/>
      <c r="F61" s="95"/>
      <c r="G61" s="95"/>
      <c r="H61" s="95"/>
      <c r="I61" s="95"/>
      <c r="J61" s="95"/>
    </row>
    <row r="62" spans="1:10">
      <c r="A62" s="101">
        <v>9</v>
      </c>
      <c r="B62" s="95" t="s">
        <v>395</v>
      </c>
      <c r="C62" s="95"/>
      <c r="D62" s="95"/>
      <c r="E62" s="95"/>
      <c r="F62" s="95"/>
      <c r="G62" s="95"/>
      <c r="H62" s="95"/>
      <c r="I62" s="95"/>
      <c r="J62" s="95"/>
    </row>
    <row r="63" spans="1:10">
      <c r="A63" s="101">
        <v>10</v>
      </c>
      <c r="B63" s="95" t="s">
        <v>396</v>
      </c>
      <c r="C63" s="95"/>
      <c r="D63" s="95"/>
      <c r="E63" s="95"/>
      <c r="F63" s="95"/>
      <c r="G63" s="95"/>
      <c r="H63" s="95"/>
      <c r="I63" s="95"/>
      <c r="J63" s="95"/>
    </row>
    <row r="64" spans="1:10">
      <c r="A64" s="101"/>
      <c r="B64" s="95" t="s">
        <v>397</v>
      </c>
      <c r="C64" s="95"/>
      <c r="D64" s="95"/>
      <c r="E64" s="95"/>
      <c r="F64" s="95"/>
      <c r="G64" s="95"/>
      <c r="H64" s="95"/>
      <c r="I64" s="95"/>
      <c r="J64" s="95"/>
    </row>
    <row r="65" spans="1:10">
      <c r="A65" s="101">
        <v>11</v>
      </c>
      <c r="B65" s="95" t="s">
        <v>398</v>
      </c>
      <c r="C65" s="94"/>
      <c r="D65" s="94"/>
      <c r="E65" s="94"/>
      <c r="F65" s="94"/>
      <c r="G65" s="94"/>
      <c r="H65" s="94"/>
      <c r="I65" s="94"/>
      <c r="J65" s="94"/>
    </row>
    <row r="66" spans="1:10">
      <c r="A66" s="101">
        <v>12</v>
      </c>
      <c r="B66" s="95" t="s">
        <v>399</v>
      </c>
      <c r="C66" s="94"/>
      <c r="D66" s="94"/>
      <c r="E66" s="94"/>
      <c r="F66" s="94"/>
      <c r="G66" s="94"/>
      <c r="H66" s="94"/>
      <c r="I66" s="94"/>
      <c r="J66" s="94"/>
    </row>
    <row r="67" spans="1:10">
      <c r="A67" s="95"/>
      <c r="B67" s="95" t="s">
        <v>400</v>
      </c>
      <c r="C67" s="94"/>
      <c r="D67" s="94"/>
      <c r="E67" s="94"/>
      <c r="F67" s="94"/>
      <c r="G67" s="94"/>
      <c r="H67" s="94"/>
      <c r="I67" s="94"/>
      <c r="J67" s="94"/>
    </row>
  </sheetData>
  <customSheetViews>
    <customSheetView guid="{1743B73C-DC30-4A18-8C09-04D85A5C0D60}" scale="60" showPageBreaks="1" fitToPage="1" view="pageBreakPreview" showRuler="0">
      <selection activeCell="A54" sqref="A54"/>
      <rowBreaks count="1" manualBreakCount="1">
        <brk id="44" max="16383" man="1"/>
      </rowBreaks>
      <pageMargins left="0.75" right="0.75" top="1" bottom="1" header="0.5" footer="0.5"/>
      <printOptions gridLines="1"/>
      <pageSetup scale="97" orientation="portrait" horizontalDpi="4294967292" verticalDpi="4294967292" r:id="rId1"/>
      <headerFooter alignWithMargins="0">
        <oddHeader>&amp;CWOODLAND SCHOOL DISTRICT DETAILED COMPARISON OF 2004-05 REVENUE BUDGET TO 2005-06 REVENUE BUDGET</oddHeader>
      </headerFooter>
    </customSheetView>
  </customSheetViews>
  <mergeCells count="1">
    <mergeCell ref="B57:J57"/>
  </mergeCells>
  <phoneticPr fontId="0" type="noConversion"/>
  <pageMargins left="0.7" right="0.7" top="0.75" bottom="0.75" header="0.3" footer="0.3"/>
  <pageSetup scale="77" orientation="portrait" verticalDpi="4294967292" r:id="rId2"/>
  <headerFooter>
    <oddHeader>&amp;C&amp;"Geneva,Bold"&amp;14 14-15 BUDGET - DETAIL REVENUE SUMMARY</oddHeader>
    <oddFooter>&amp;CPAGE 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0"/>
  <sheetViews>
    <sheetView zoomScaleNormal="100" workbookViewId="0">
      <selection activeCell="H12" sqref="H12"/>
    </sheetView>
  </sheetViews>
  <sheetFormatPr defaultColWidth="11.42578125" defaultRowHeight="12.75"/>
  <cols>
    <col min="1" max="1" width="5" customWidth="1"/>
    <col min="2" max="2" width="22.140625" customWidth="1"/>
    <col min="3" max="3" width="17.5703125" hidden="1" customWidth="1"/>
    <col min="4" max="4" width="8.85546875" hidden="1" customWidth="1"/>
    <col min="5" max="5" width="18.85546875" customWidth="1"/>
    <col min="6" max="6" width="13.140625" customWidth="1"/>
    <col min="7" max="7" width="11.42578125" hidden="1" customWidth="1"/>
    <col min="8" max="8" width="17.42578125" customWidth="1"/>
    <col min="9" max="9" width="13.42578125" customWidth="1"/>
    <col min="10" max="10" width="13.7109375" customWidth="1"/>
    <col min="11" max="11" width="14.140625" customWidth="1"/>
    <col min="12" max="12" width="9.28515625" customWidth="1"/>
  </cols>
  <sheetData>
    <row r="1" spans="1:12">
      <c r="C1" s="18" t="s">
        <v>68</v>
      </c>
      <c r="D1" s="21" t="s">
        <v>69</v>
      </c>
      <c r="E1" s="16" t="s">
        <v>352</v>
      </c>
      <c r="F1" s="110" t="s">
        <v>346</v>
      </c>
      <c r="G1" s="16" t="s">
        <v>1</v>
      </c>
      <c r="H1" s="16" t="s">
        <v>371</v>
      </c>
      <c r="I1" s="110" t="s">
        <v>364</v>
      </c>
    </row>
    <row r="2" spans="1:12">
      <c r="C2" s="18" t="s">
        <v>62</v>
      </c>
      <c r="D2" s="18" t="s">
        <v>61</v>
      </c>
      <c r="E2" s="107" t="s">
        <v>62</v>
      </c>
      <c r="F2" s="107" t="s">
        <v>135</v>
      </c>
      <c r="G2" s="107"/>
      <c r="H2" s="107" t="s">
        <v>62</v>
      </c>
      <c r="I2" s="107" t="s">
        <v>135</v>
      </c>
      <c r="J2" s="107" t="s">
        <v>1</v>
      </c>
      <c r="K2" s="107" t="s">
        <v>291</v>
      </c>
    </row>
    <row r="3" spans="1:12">
      <c r="A3" t="s">
        <v>2</v>
      </c>
      <c r="D3" s="17"/>
      <c r="F3" s="17"/>
      <c r="I3" s="17"/>
    </row>
    <row r="4" spans="1:12">
      <c r="A4" t="s">
        <v>3</v>
      </c>
      <c r="C4" s="4">
        <v>181000</v>
      </c>
      <c r="D4" s="17"/>
      <c r="E4" s="4">
        <v>231500</v>
      </c>
      <c r="F4" s="17"/>
      <c r="G4" s="4">
        <f t="shared" ref="G4:G14" si="0">E4-C4</f>
        <v>50500</v>
      </c>
      <c r="H4" s="4">
        <v>192000</v>
      </c>
      <c r="I4" s="17"/>
      <c r="J4" s="4">
        <f t="shared" ref="J4:J14" si="1">H4-E4</f>
        <v>-39500</v>
      </c>
      <c r="K4" s="43">
        <f>J4/E4</f>
        <v>-0.17062634989200864</v>
      </c>
      <c r="L4" s="92">
        <v>1</v>
      </c>
    </row>
    <row r="5" spans="1:12">
      <c r="A5" t="s">
        <v>63</v>
      </c>
      <c r="C5" s="4">
        <f>4853238-C6</f>
        <v>4793032</v>
      </c>
      <c r="D5" s="17">
        <f>93.883-D6</f>
        <v>93.283000000000001</v>
      </c>
      <c r="E5" s="4">
        <f>6345306+243406-E6</f>
        <v>6516634</v>
      </c>
      <c r="F5" s="17">
        <v>107.90400000000001</v>
      </c>
      <c r="G5" s="4">
        <f t="shared" si="0"/>
        <v>1723602</v>
      </c>
      <c r="H5" s="4">
        <f>6827167+272621-H6</f>
        <v>7024756</v>
      </c>
      <c r="I5" s="17">
        <f>'FTE COMP'!C8-I6</f>
        <v>112.27600000000001</v>
      </c>
      <c r="J5" s="4">
        <f t="shared" si="1"/>
        <v>508122</v>
      </c>
      <c r="K5" s="43">
        <f t="shared" ref="K5:K14" si="2">J5/E5</f>
        <v>7.7973076284474474E-2</v>
      </c>
      <c r="L5" s="92">
        <v>2</v>
      </c>
    </row>
    <row r="6" spans="1:12">
      <c r="A6" t="s">
        <v>4</v>
      </c>
      <c r="C6" s="4">
        <v>60206</v>
      </c>
      <c r="D6" s="17">
        <v>0.6</v>
      </c>
      <c r="E6" s="4">
        <v>72078</v>
      </c>
      <c r="F6" s="17">
        <v>1</v>
      </c>
      <c r="G6" s="4">
        <f t="shared" si="0"/>
        <v>11872</v>
      </c>
      <c r="H6" s="4">
        <v>75032</v>
      </c>
      <c r="I6" s="17">
        <v>1</v>
      </c>
      <c r="J6" s="4">
        <f t="shared" si="1"/>
        <v>2954</v>
      </c>
      <c r="K6" s="43">
        <f t="shared" si="2"/>
        <v>4.098337911706762E-2</v>
      </c>
      <c r="L6" s="92"/>
    </row>
    <row r="7" spans="1:12">
      <c r="A7" t="s">
        <v>64</v>
      </c>
      <c r="C7" s="4">
        <f>792530-C8</f>
        <v>632345</v>
      </c>
      <c r="D7" s="17">
        <v>20.631</v>
      </c>
      <c r="E7" s="4">
        <f>863373+22475-E8</f>
        <v>696408</v>
      </c>
      <c r="F7" s="17">
        <v>19.852999999999998</v>
      </c>
      <c r="G7" s="4">
        <f t="shared" si="0"/>
        <v>64063</v>
      </c>
      <c r="H7" s="4">
        <f>1002845+26220-H8</f>
        <v>835100</v>
      </c>
      <c r="I7" s="17">
        <f>'FTE COMP'!C25</f>
        <v>24.149000000000001</v>
      </c>
      <c r="J7" s="4">
        <f t="shared" si="1"/>
        <v>138692</v>
      </c>
      <c r="K7" s="43">
        <f t="shared" si="2"/>
        <v>0.19915336986364315</v>
      </c>
      <c r="L7" s="92">
        <v>3</v>
      </c>
    </row>
    <row r="8" spans="1:12">
      <c r="A8" t="s">
        <v>6</v>
      </c>
      <c r="C8" s="4">
        <v>160185</v>
      </c>
      <c r="D8" s="17"/>
      <c r="E8" s="4">
        <v>189440</v>
      </c>
      <c r="F8" s="17"/>
      <c r="G8" s="4">
        <f t="shared" si="0"/>
        <v>29255</v>
      </c>
      <c r="H8" s="4">
        <v>193965</v>
      </c>
      <c r="I8" s="17"/>
      <c r="J8" s="4">
        <f t="shared" si="1"/>
        <v>4525</v>
      </c>
      <c r="K8" s="43">
        <f t="shared" si="2"/>
        <v>2.3886190878378379E-2</v>
      </c>
      <c r="L8" s="92"/>
    </row>
    <row r="9" spans="1:12">
      <c r="A9" t="s">
        <v>7</v>
      </c>
      <c r="C9" s="4">
        <v>1619510</v>
      </c>
      <c r="D9" s="17"/>
      <c r="E9" s="4">
        <f>2785003+107811</f>
        <v>2892814</v>
      </c>
      <c r="F9" s="17"/>
      <c r="G9" s="4">
        <f t="shared" si="0"/>
        <v>1273304</v>
      </c>
      <c r="H9" s="4">
        <f>2980063+113084</f>
        <v>3093147</v>
      </c>
      <c r="I9" s="17"/>
      <c r="J9" s="4">
        <f t="shared" si="1"/>
        <v>200333</v>
      </c>
      <c r="K9" s="43">
        <f t="shared" si="2"/>
        <v>6.9251946374706427E-2</v>
      </c>
      <c r="L9" s="104" t="s">
        <v>407</v>
      </c>
    </row>
    <row r="10" spans="1:12">
      <c r="A10" t="s">
        <v>8</v>
      </c>
      <c r="C10" s="4">
        <v>386676</v>
      </c>
      <c r="D10" s="17"/>
      <c r="E10" s="4">
        <f>410786+65425-5000</f>
        <v>471211</v>
      </c>
      <c r="F10" s="17"/>
      <c r="G10" s="4">
        <f t="shared" si="0"/>
        <v>84535</v>
      </c>
      <c r="H10" s="4">
        <f>463945+49656</f>
        <v>513601</v>
      </c>
      <c r="I10" s="17"/>
      <c r="J10" s="4">
        <f t="shared" si="1"/>
        <v>42390</v>
      </c>
      <c r="K10" s="43">
        <f t="shared" si="2"/>
        <v>8.9959699582564917E-2</v>
      </c>
      <c r="L10" s="92">
        <v>4</v>
      </c>
    </row>
    <row r="11" spans="1:12">
      <c r="A11" t="s">
        <v>9</v>
      </c>
      <c r="C11" s="4">
        <v>279079</v>
      </c>
      <c r="D11" s="17"/>
      <c r="E11" s="4">
        <f>349299+39000-34400</f>
        <v>353899</v>
      </c>
      <c r="F11" s="17"/>
      <c r="G11" s="4">
        <f t="shared" si="0"/>
        <v>74820</v>
      </c>
      <c r="H11" s="4">
        <f>406728+41500-H12</f>
        <v>415328</v>
      </c>
      <c r="I11" s="17"/>
      <c r="J11" s="4">
        <f t="shared" si="1"/>
        <v>61429</v>
      </c>
      <c r="K11" s="43">
        <f t="shared" si="2"/>
        <v>0.17357777218924042</v>
      </c>
      <c r="L11" s="92">
        <v>5</v>
      </c>
    </row>
    <row r="12" spans="1:12">
      <c r="A12" t="s">
        <v>356</v>
      </c>
      <c r="C12" s="4"/>
      <c r="D12" s="17"/>
      <c r="E12" s="4">
        <f>34400+5000</f>
        <v>39400</v>
      </c>
      <c r="F12" s="17"/>
      <c r="G12" s="4"/>
      <c r="H12" s="4">
        <v>32900</v>
      </c>
      <c r="I12" s="17"/>
      <c r="J12" s="4">
        <f t="shared" si="1"/>
        <v>-6500</v>
      </c>
      <c r="K12" s="43">
        <f t="shared" si="2"/>
        <v>-0.1649746192893401</v>
      </c>
      <c r="L12" s="92"/>
    </row>
    <row r="13" spans="1:12">
      <c r="A13" t="s">
        <v>10</v>
      </c>
      <c r="C13" s="4">
        <v>9100</v>
      </c>
      <c r="D13" s="17"/>
      <c r="E13" s="6">
        <v>4500</v>
      </c>
      <c r="F13" s="19"/>
      <c r="G13" s="6">
        <f t="shared" si="0"/>
        <v>-4600</v>
      </c>
      <c r="H13" s="6">
        <v>6000</v>
      </c>
      <c r="I13" s="19"/>
      <c r="J13" s="6">
        <f t="shared" si="1"/>
        <v>1500</v>
      </c>
      <c r="K13" s="44">
        <f t="shared" si="2"/>
        <v>0.33333333333333331</v>
      </c>
      <c r="L13" s="92"/>
    </row>
    <row r="14" spans="1:12">
      <c r="A14" t="s">
        <v>12</v>
      </c>
      <c r="C14" s="4">
        <f>SUM(C4:C13)</f>
        <v>8121133</v>
      </c>
      <c r="D14" s="17">
        <f>SUM(D4:D13)</f>
        <v>114.514</v>
      </c>
      <c r="E14" s="4">
        <f>SUM(E4:E13)</f>
        <v>11467884</v>
      </c>
      <c r="F14" s="17">
        <f>SUM(F5:F13)</f>
        <v>128.75700000000001</v>
      </c>
      <c r="G14" s="4">
        <f t="shared" si="0"/>
        <v>3346751</v>
      </c>
      <c r="H14" s="4">
        <f>SUM(H4:H13)</f>
        <v>12381829</v>
      </c>
      <c r="I14" s="17">
        <f>SUM(I4:I13)</f>
        <v>137.42500000000001</v>
      </c>
      <c r="J14" s="4">
        <f t="shared" si="1"/>
        <v>913945</v>
      </c>
      <c r="K14" s="43">
        <f t="shared" si="2"/>
        <v>7.9696045059402421E-2</v>
      </c>
      <c r="L14" s="92"/>
    </row>
    <row r="15" spans="1:12">
      <c r="D15" s="17"/>
      <c r="F15" s="17"/>
      <c r="G15" s="4" t="s">
        <v>5</v>
      </c>
      <c r="I15" s="17"/>
      <c r="J15" s="4" t="s">
        <v>5</v>
      </c>
      <c r="K15" s="43"/>
      <c r="L15" s="92"/>
    </row>
    <row r="16" spans="1:12">
      <c r="A16" t="s">
        <v>13</v>
      </c>
      <c r="D16" s="17"/>
      <c r="F16" s="17"/>
      <c r="G16" s="4" t="s">
        <v>5</v>
      </c>
      <c r="I16" s="17"/>
      <c r="J16" s="4" t="s">
        <v>5</v>
      </c>
      <c r="K16" s="43"/>
      <c r="L16" s="92"/>
    </row>
    <row r="17" spans="1:12">
      <c r="A17" t="s">
        <v>65</v>
      </c>
      <c r="C17" s="4">
        <v>398334</v>
      </c>
      <c r="D17" s="17">
        <v>8.2240000000000002</v>
      </c>
      <c r="E17" s="4">
        <f>798410+103153</f>
        <v>901563</v>
      </c>
      <c r="F17" s="17">
        <v>15</v>
      </c>
      <c r="G17" s="4">
        <f t="shared" ref="G17:G24" si="3">E17-C17</f>
        <v>503229</v>
      </c>
      <c r="H17" s="4">
        <f>818115+106356</f>
        <v>924471</v>
      </c>
      <c r="I17" s="17">
        <f>'FTE COMP'!C9</f>
        <v>15.4</v>
      </c>
      <c r="J17" s="4">
        <f t="shared" ref="J17:J24" si="4">H17-E17</f>
        <v>22908</v>
      </c>
      <c r="K17" s="43">
        <f t="shared" ref="K17:K24" si="5">J17/E17</f>
        <v>2.5409206012225436E-2</v>
      </c>
      <c r="L17" s="92"/>
    </row>
    <row r="18" spans="1:12">
      <c r="A18" t="s">
        <v>64</v>
      </c>
      <c r="C18" s="4">
        <v>152708</v>
      </c>
      <c r="D18" s="17">
        <v>5.2720000000000002</v>
      </c>
      <c r="E18" s="4">
        <f>287669+116525</f>
        <v>404194</v>
      </c>
      <c r="F18" s="17">
        <v>12.763</v>
      </c>
      <c r="G18" s="4">
        <f t="shared" si="3"/>
        <v>251486</v>
      </c>
      <c r="H18" s="4">
        <f>371131+124963</f>
        <v>496094</v>
      </c>
      <c r="I18" s="17">
        <f>'FTE COMP'!C26</f>
        <v>15.808</v>
      </c>
      <c r="J18" s="4">
        <f t="shared" si="4"/>
        <v>91900</v>
      </c>
      <c r="K18" s="43">
        <f t="shared" si="5"/>
        <v>0.22736606678970989</v>
      </c>
      <c r="L18" s="92"/>
    </row>
    <row r="19" spans="1:12">
      <c r="A19" t="s">
        <v>7</v>
      </c>
      <c r="C19" s="4">
        <v>190942</v>
      </c>
      <c r="D19" s="17"/>
      <c r="E19" s="4">
        <f>490522+128037</f>
        <v>618559</v>
      </c>
      <c r="F19" s="17"/>
      <c r="G19" s="4">
        <f t="shared" si="3"/>
        <v>427617</v>
      </c>
      <c r="H19" s="4">
        <f>544745+129827</f>
        <v>674572</v>
      </c>
      <c r="I19" s="17"/>
      <c r="J19" s="4">
        <f t="shared" si="4"/>
        <v>56013</v>
      </c>
      <c r="K19" s="43">
        <f t="shared" si="5"/>
        <v>9.0554013440916709E-2</v>
      </c>
      <c r="L19" s="92">
        <v>6</v>
      </c>
    </row>
    <row r="20" spans="1:12">
      <c r="A20" t="s">
        <v>8</v>
      </c>
      <c r="C20" s="4">
        <v>29250</v>
      </c>
      <c r="D20" s="17"/>
      <c r="E20" s="4">
        <f>44200+1500</f>
        <v>45700</v>
      </c>
      <c r="F20" s="17"/>
      <c r="G20" s="4">
        <f t="shared" si="3"/>
        <v>16450</v>
      </c>
      <c r="H20" s="4">
        <f>51300+2500+1162</f>
        <v>54962</v>
      </c>
      <c r="I20" s="17"/>
      <c r="J20" s="4">
        <f t="shared" si="4"/>
        <v>9262</v>
      </c>
      <c r="K20" s="43">
        <f t="shared" si="5"/>
        <v>0.20266958424507658</v>
      </c>
      <c r="L20" s="92"/>
    </row>
    <row r="21" spans="1:12">
      <c r="A21" t="s">
        <v>14</v>
      </c>
      <c r="C21" s="4">
        <v>104146</v>
      </c>
      <c r="D21" s="17"/>
      <c r="E21" s="4">
        <f>111673</f>
        <v>111673</v>
      </c>
      <c r="F21" s="17"/>
      <c r="G21" s="4">
        <f t="shared" si="3"/>
        <v>7527</v>
      </c>
      <c r="H21" s="4">
        <f>194221+49000</f>
        <v>243221</v>
      </c>
      <c r="I21" s="17"/>
      <c r="J21" s="4">
        <f t="shared" si="4"/>
        <v>131548</v>
      </c>
      <c r="K21" s="43">
        <f t="shared" si="5"/>
        <v>1.1779749805234927</v>
      </c>
      <c r="L21" s="92">
        <v>7</v>
      </c>
    </row>
    <row r="22" spans="1:12">
      <c r="A22" t="s">
        <v>10</v>
      </c>
      <c r="C22" s="4">
        <v>2800</v>
      </c>
      <c r="D22" s="17"/>
      <c r="E22" s="4">
        <f>8769</f>
        <v>8769</v>
      </c>
      <c r="F22" s="17"/>
      <c r="G22" s="4">
        <f t="shared" si="3"/>
        <v>5969</v>
      </c>
      <c r="H22" s="4">
        <v>4250</v>
      </c>
      <c r="I22" s="17"/>
      <c r="J22" s="4">
        <f t="shared" si="4"/>
        <v>-4519</v>
      </c>
      <c r="K22" s="43">
        <f t="shared" si="5"/>
        <v>-0.51533812293305969</v>
      </c>
      <c r="L22" s="92"/>
    </row>
    <row r="23" spans="1:12">
      <c r="A23" t="s">
        <v>11</v>
      </c>
      <c r="C23" s="6">
        <v>0</v>
      </c>
      <c r="D23" s="19"/>
      <c r="E23" s="6">
        <v>0</v>
      </c>
      <c r="F23" s="19"/>
      <c r="G23" s="6">
        <f t="shared" si="3"/>
        <v>0</v>
      </c>
      <c r="H23" s="6">
        <v>12000</v>
      </c>
      <c r="I23" s="19"/>
      <c r="J23" s="6">
        <f t="shared" si="4"/>
        <v>12000</v>
      </c>
      <c r="K23" s="44">
        <v>1</v>
      </c>
      <c r="L23" s="92">
        <v>8</v>
      </c>
    </row>
    <row r="24" spans="1:12">
      <c r="A24" t="s">
        <v>15</v>
      </c>
      <c r="C24" s="4">
        <f>SUM(C17:C23)</f>
        <v>878180</v>
      </c>
      <c r="D24" s="17">
        <f>SUM(D17:D23)</f>
        <v>13.496</v>
      </c>
      <c r="E24" s="4">
        <f>SUM(E17:E23)</f>
        <v>2090458</v>
      </c>
      <c r="F24" s="17">
        <f>SUM(F17:F23)</f>
        <v>27.762999999999998</v>
      </c>
      <c r="G24" s="4">
        <f t="shared" si="3"/>
        <v>1212278</v>
      </c>
      <c r="H24" s="4">
        <f>SUM(H17:H23)</f>
        <v>2409570</v>
      </c>
      <c r="I24" s="17">
        <f>SUM(I17:I23)</f>
        <v>31.207999999999998</v>
      </c>
      <c r="J24" s="4">
        <f t="shared" si="4"/>
        <v>319112</v>
      </c>
      <c r="K24" s="43">
        <f t="shared" si="5"/>
        <v>0.1526517155570693</v>
      </c>
      <c r="L24" s="92"/>
    </row>
    <row r="25" spans="1:12">
      <c r="C25" s="4"/>
      <c r="D25" s="17"/>
      <c r="E25" s="4"/>
      <c r="F25" s="17"/>
      <c r="G25" s="4" t="s">
        <v>5</v>
      </c>
      <c r="H25" s="4"/>
      <c r="I25" s="17"/>
      <c r="J25" s="4" t="s">
        <v>5</v>
      </c>
      <c r="K25" s="43"/>
      <c r="L25" s="92"/>
    </row>
    <row r="26" spans="1:12">
      <c r="A26" t="s">
        <v>326</v>
      </c>
      <c r="C26" s="4"/>
      <c r="D26" s="17"/>
      <c r="E26" s="4"/>
      <c r="F26" s="17"/>
      <c r="G26" s="4" t="s">
        <v>5</v>
      </c>
      <c r="H26" s="4"/>
      <c r="I26" s="17"/>
      <c r="J26" s="4" t="s">
        <v>5</v>
      </c>
      <c r="K26" s="43"/>
      <c r="L26" s="92"/>
    </row>
    <row r="27" spans="1:12">
      <c r="A27" t="s">
        <v>63</v>
      </c>
      <c r="C27" s="4">
        <v>289991</v>
      </c>
      <c r="D27" s="17">
        <v>4.45</v>
      </c>
      <c r="E27" s="4">
        <f>305861+86072</f>
        <v>391933</v>
      </c>
      <c r="F27" s="17">
        <v>5</v>
      </c>
      <c r="G27" s="4">
        <f t="shared" ref="G27:G34" si="6">E27-C27</f>
        <v>101942</v>
      </c>
      <c r="H27" s="4">
        <f>275956+75690</f>
        <v>351646</v>
      </c>
      <c r="I27" s="17">
        <f>'FTE COMP'!C10+'FTE COMP'!C11</f>
        <v>4.6999999999999993</v>
      </c>
      <c r="J27" s="4">
        <f t="shared" ref="J27:J34" si="7">H27-E27</f>
        <v>-40287</v>
      </c>
      <c r="K27" s="43">
        <f t="shared" ref="K27:K34" si="8">J27/E27</f>
        <v>-0.10279052797289333</v>
      </c>
      <c r="L27" s="92">
        <v>9</v>
      </c>
    </row>
    <row r="28" spans="1:12">
      <c r="A28" t="s">
        <v>64</v>
      </c>
      <c r="C28" s="4">
        <v>75162</v>
      </c>
      <c r="D28" s="17">
        <v>2.37</v>
      </c>
      <c r="E28" s="4">
        <f>15983</f>
        <v>15983</v>
      </c>
      <c r="F28" s="17">
        <v>0.54800000000000004</v>
      </c>
      <c r="G28" s="4">
        <f t="shared" si="6"/>
        <v>-59179</v>
      </c>
      <c r="H28" s="4">
        <f>16196</f>
        <v>16196</v>
      </c>
      <c r="I28" s="17">
        <f>'FTE COMP'!C27</f>
        <v>0.56000000000000005</v>
      </c>
      <c r="J28" s="4">
        <f t="shared" si="7"/>
        <v>213</v>
      </c>
      <c r="K28" s="43">
        <f t="shared" si="8"/>
        <v>1.3326659575799286E-2</v>
      </c>
      <c r="L28" s="92"/>
    </row>
    <row r="29" spans="1:12">
      <c r="A29" t="s">
        <v>7</v>
      </c>
      <c r="C29" s="4">
        <v>97547</v>
      </c>
      <c r="D29" s="17"/>
      <c r="E29" s="4">
        <f>107445+31269</f>
        <v>138714</v>
      </c>
      <c r="F29" s="17"/>
      <c r="G29" s="4">
        <f t="shared" si="6"/>
        <v>41167</v>
      </c>
      <c r="H29" s="4">
        <f>101387+26947</f>
        <v>128334</v>
      </c>
      <c r="I29" s="17"/>
      <c r="J29" s="4">
        <f t="shared" si="7"/>
        <v>-10380</v>
      </c>
      <c r="K29" s="43">
        <f t="shared" si="8"/>
        <v>-7.4830226220857304E-2</v>
      </c>
      <c r="L29" s="92">
        <v>9</v>
      </c>
    </row>
    <row r="30" spans="1:12">
      <c r="A30" t="s">
        <v>8</v>
      </c>
      <c r="C30" s="4">
        <v>51250</v>
      </c>
      <c r="D30" s="17"/>
      <c r="E30" s="4">
        <f>56600+15000</f>
        <v>71600</v>
      </c>
      <c r="F30" s="17"/>
      <c r="G30" s="4">
        <f t="shared" si="6"/>
        <v>20350</v>
      </c>
      <c r="H30" s="4">
        <f>52600+12000</f>
        <v>64600</v>
      </c>
      <c r="I30" s="17"/>
      <c r="J30" s="4">
        <f t="shared" si="7"/>
        <v>-7000</v>
      </c>
      <c r="K30" s="43">
        <f t="shared" si="8"/>
        <v>-9.7765363128491614E-2</v>
      </c>
      <c r="L30" s="92">
        <v>9</v>
      </c>
    </row>
    <row r="31" spans="1:12">
      <c r="A31" t="s">
        <v>14</v>
      </c>
      <c r="C31" s="4">
        <v>13250</v>
      </c>
      <c r="D31" s="17"/>
      <c r="E31" s="4">
        <f>17500</f>
        <v>17500</v>
      </c>
      <c r="F31" s="17"/>
      <c r="G31" s="4">
        <f t="shared" si="6"/>
        <v>4250</v>
      </c>
      <c r="H31" s="4">
        <v>18100</v>
      </c>
      <c r="I31" s="17"/>
      <c r="J31" s="4">
        <f t="shared" si="7"/>
        <v>600</v>
      </c>
      <c r="K31" s="43">
        <f t="shared" si="8"/>
        <v>3.4285714285714287E-2</v>
      </c>
      <c r="L31" s="92"/>
    </row>
    <row r="32" spans="1:12">
      <c r="A32" t="s">
        <v>10</v>
      </c>
      <c r="C32" s="4">
        <v>6750</v>
      </c>
      <c r="D32" s="17"/>
      <c r="E32" s="4">
        <f>3000</f>
        <v>3000</v>
      </c>
      <c r="F32" s="17"/>
      <c r="G32" s="4">
        <f t="shared" si="6"/>
        <v>-3750</v>
      </c>
      <c r="H32" s="4">
        <v>1500</v>
      </c>
      <c r="I32" s="17"/>
      <c r="J32" s="4">
        <f t="shared" si="7"/>
        <v>-1500</v>
      </c>
      <c r="K32" s="43">
        <f t="shared" si="8"/>
        <v>-0.5</v>
      </c>
      <c r="L32" s="92"/>
    </row>
    <row r="33" spans="1:12">
      <c r="A33" t="s">
        <v>11</v>
      </c>
      <c r="C33" s="6">
        <v>10000</v>
      </c>
      <c r="D33" s="19"/>
      <c r="E33" s="6">
        <v>0</v>
      </c>
      <c r="F33" s="19"/>
      <c r="G33" s="6">
        <f t="shared" si="6"/>
        <v>-10000</v>
      </c>
      <c r="H33" s="6">
        <v>0</v>
      </c>
      <c r="I33" s="19"/>
      <c r="J33" s="6">
        <f t="shared" si="7"/>
        <v>0</v>
      </c>
      <c r="K33" s="44">
        <v>0</v>
      </c>
      <c r="L33" s="92"/>
    </row>
    <row r="34" spans="1:12">
      <c r="A34" t="s">
        <v>327</v>
      </c>
      <c r="C34" s="4">
        <f>SUM(C27:C33)</f>
        <v>543950</v>
      </c>
      <c r="D34" s="17">
        <f>SUM(D27:D33)</f>
        <v>6.82</v>
      </c>
      <c r="E34" s="4">
        <f>SUM(E27:E33)</f>
        <v>638730</v>
      </c>
      <c r="F34" s="17">
        <f>SUM(F27:F33)</f>
        <v>5.548</v>
      </c>
      <c r="G34" s="4">
        <f t="shared" si="6"/>
        <v>94780</v>
      </c>
      <c r="H34" s="4">
        <f>SUM(H27:H33)</f>
        <v>580376</v>
      </c>
      <c r="I34" s="17">
        <f>SUM(I27:I33)</f>
        <v>5.26</v>
      </c>
      <c r="J34" s="4">
        <f t="shared" si="7"/>
        <v>-58354</v>
      </c>
      <c r="K34" s="43">
        <f t="shared" si="8"/>
        <v>-9.1359416341803265E-2</v>
      </c>
      <c r="L34" s="92"/>
    </row>
    <row r="35" spans="1:12">
      <c r="C35" s="4"/>
      <c r="D35" s="17"/>
      <c r="E35" s="4"/>
      <c r="F35" s="17"/>
      <c r="G35" s="4" t="s">
        <v>5</v>
      </c>
      <c r="H35" s="4"/>
      <c r="I35" s="17"/>
      <c r="J35" s="4" t="s">
        <v>5</v>
      </c>
      <c r="K35" s="43"/>
      <c r="L35" s="92"/>
    </row>
    <row r="36" spans="1:12">
      <c r="A36" t="s">
        <v>328</v>
      </c>
      <c r="C36" s="4">
        <v>11995</v>
      </c>
      <c r="D36" s="17"/>
      <c r="E36" s="4">
        <v>17803</v>
      </c>
      <c r="F36" s="17"/>
      <c r="G36" s="4">
        <f>E36-C36</f>
        <v>5808</v>
      </c>
      <c r="H36" s="4">
        <f>'SOURCE-USE'!F123</f>
        <v>17803</v>
      </c>
      <c r="I36" s="17"/>
      <c r="J36" s="4">
        <f>H36-E36</f>
        <v>0</v>
      </c>
      <c r="K36" s="43">
        <f>J36/E36</f>
        <v>0</v>
      </c>
      <c r="L36" s="92"/>
    </row>
    <row r="37" spans="1:12">
      <c r="C37" s="4"/>
      <c r="D37" s="17"/>
      <c r="E37" s="4"/>
      <c r="F37" s="17"/>
      <c r="G37" s="4" t="s">
        <v>5</v>
      </c>
      <c r="H37" s="4"/>
      <c r="I37" s="17"/>
      <c r="J37" s="4" t="s">
        <v>5</v>
      </c>
      <c r="K37" s="43"/>
      <c r="L37" s="92"/>
    </row>
    <row r="38" spans="1:12">
      <c r="A38" t="s">
        <v>67</v>
      </c>
      <c r="C38" s="4">
        <v>207444</v>
      </c>
      <c r="D38" s="17">
        <v>4.4370000000000003</v>
      </c>
      <c r="E38" s="4">
        <v>603935</v>
      </c>
      <c r="F38" s="17">
        <v>7.492</v>
      </c>
      <c r="G38" s="4">
        <f>E38-C38</f>
        <v>396491</v>
      </c>
      <c r="H38" s="4">
        <f>'SOURCE-USE'!F125</f>
        <v>637220</v>
      </c>
      <c r="I38" s="17">
        <f>'FTE COMP'!C12+'FTE COMP'!C28</f>
        <v>5.782</v>
      </c>
      <c r="J38" s="4">
        <f>H38-E38</f>
        <v>33285</v>
      </c>
      <c r="K38" s="43">
        <f>J38/E38</f>
        <v>5.5113546987672513E-2</v>
      </c>
      <c r="L38" s="92">
        <v>10</v>
      </c>
    </row>
    <row r="39" spans="1:12">
      <c r="C39" s="4"/>
      <c r="D39" s="17"/>
      <c r="E39" s="4"/>
      <c r="F39" s="17"/>
      <c r="G39" s="4"/>
      <c r="H39" s="4"/>
      <c r="I39" s="17"/>
      <c r="J39" s="4"/>
      <c r="K39" s="43"/>
      <c r="L39" s="92"/>
    </row>
    <row r="40" spans="1:12">
      <c r="A40" t="s">
        <v>353</v>
      </c>
      <c r="C40" s="4" t="e">
        <f>81807-#REF!</f>
        <v>#REF!</v>
      </c>
      <c r="D40" s="17"/>
      <c r="E40" s="4">
        <v>57097</v>
      </c>
      <c r="F40" s="17"/>
      <c r="G40" s="4" t="e">
        <f>E40-C40</f>
        <v>#REF!</v>
      </c>
      <c r="H40" s="4">
        <f>'SOURCE-USE'!F127</f>
        <v>51897</v>
      </c>
      <c r="I40" s="17"/>
      <c r="J40" s="4">
        <f>H40-E40</f>
        <v>-5200</v>
      </c>
      <c r="K40" s="43">
        <f>J40/E40</f>
        <v>-9.1073086151636687E-2</v>
      </c>
      <c r="L40" s="92"/>
    </row>
    <row r="41" spans="1:12">
      <c r="C41" s="4"/>
      <c r="D41" s="17"/>
      <c r="E41" s="4"/>
      <c r="F41" s="17"/>
      <c r="G41" s="4" t="s">
        <v>5</v>
      </c>
      <c r="H41" s="4"/>
      <c r="I41" s="17"/>
      <c r="J41" s="4" t="s">
        <v>5</v>
      </c>
      <c r="K41" s="43"/>
      <c r="L41" s="92"/>
    </row>
    <row r="42" spans="1:12">
      <c r="A42" t="s">
        <v>17</v>
      </c>
      <c r="C42" s="4">
        <v>140197</v>
      </c>
      <c r="D42" s="17">
        <v>2.4569999999999999</v>
      </c>
      <c r="E42" s="4">
        <v>406922</v>
      </c>
      <c r="F42" s="17">
        <v>5.5179999999999998</v>
      </c>
      <c r="G42" s="4">
        <f>E42-C42</f>
        <v>266725</v>
      </c>
      <c r="H42" s="4">
        <f>'SOURCE-USE'!F129</f>
        <v>484602</v>
      </c>
      <c r="I42" s="17">
        <f>'FTE COMP'!C13+'FTE COMP'!C29</f>
        <v>7.0549999999999997</v>
      </c>
      <c r="J42" s="4">
        <f>H42-E42</f>
        <v>77680</v>
      </c>
      <c r="K42" s="43">
        <f>J42/E42</f>
        <v>0.19089653545396906</v>
      </c>
      <c r="L42" s="92">
        <v>11</v>
      </c>
    </row>
    <row r="43" spans="1:12">
      <c r="C43" s="4"/>
      <c r="D43" s="17"/>
      <c r="E43" s="4"/>
      <c r="F43" s="17"/>
      <c r="G43" s="4"/>
      <c r="H43" s="4"/>
      <c r="I43" s="17"/>
      <c r="J43" s="4"/>
      <c r="K43" s="43"/>
      <c r="L43" s="92"/>
    </row>
    <row r="44" spans="1:12">
      <c r="A44" t="s">
        <v>140</v>
      </c>
      <c r="C44" s="4"/>
      <c r="D44" s="17"/>
      <c r="E44" s="4">
        <v>73763</v>
      </c>
      <c r="F44" s="17"/>
      <c r="G44" s="4"/>
      <c r="H44" s="4">
        <f>'SOURCE-USE'!F131</f>
        <v>105681</v>
      </c>
      <c r="I44" s="17"/>
      <c r="J44" s="4">
        <f>H44-E44</f>
        <v>31918</v>
      </c>
      <c r="K44" s="43">
        <f>J44/E44</f>
        <v>0.4327101663435598</v>
      </c>
      <c r="L44" s="92">
        <v>12</v>
      </c>
    </row>
    <row r="45" spans="1:12">
      <c r="C45" s="4"/>
      <c r="D45" s="17"/>
      <c r="E45" s="4"/>
      <c r="F45" s="17"/>
      <c r="G45" s="4"/>
      <c r="H45" s="4"/>
      <c r="I45" s="17"/>
      <c r="J45" s="4"/>
      <c r="K45" s="43"/>
      <c r="L45" s="92"/>
    </row>
    <row r="46" spans="1:12">
      <c r="A46" t="s">
        <v>66</v>
      </c>
      <c r="C46" s="4">
        <v>14800</v>
      </c>
      <c r="D46" s="17"/>
      <c r="E46" s="4">
        <v>23200</v>
      </c>
      <c r="F46" s="17"/>
      <c r="G46" s="4">
        <f>E46-C46</f>
        <v>8400</v>
      </c>
      <c r="H46" s="4">
        <f>'SOURCE-USE'!F133</f>
        <v>21073</v>
      </c>
      <c r="I46" s="17"/>
      <c r="J46" s="4">
        <f>H46-E46</f>
        <v>-2127</v>
      </c>
      <c r="K46" s="43">
        <f>J46/E46</f>
        <v>-9.1681034482758619E-2</v>
      </c>
      <c r="L46" s="92"/>
    </row>
    <row r="47" spans="1:12">
      <c r="C47" s="4"/>
      <c r="D47" s="17"/>
      <c r="E47" s="4"/>
      <c r="F47" s="17"/>
      <c r="G47" s="4"/>
      <c r="H47" s="4"/>
      <c r="I47" s="17"/>
      <c r="J47" s="4"/>
      <c r="K47" s="43"/>
      <c r="L47" s="92"/>
    </row>
    <row r="48" spans="1:12">
      <c r="A48" t="s">
        <v>16</v>
      </c>
      <c r="C48" s="4">
        <v>59347</v>
      </c>
      <c r="D48" s="17">
        <v>1.33</v>
      </c>
      <c r="E48" s="4">
        <v>110591</v>
      </c>
      <c r="F48" s="17">
        <v>2.0859999999999999</v>
      </c>
      <c r="G48" s="4">
        <f>E48-C48</f>
        <v>51244</v>
      </c>
      <c r="H48" s="4">
        <f>'SOURCE-USE'!F135</f>
        <v>110328</v>
      </c>
      <c r="I48" s="17">
        <f>'FTE COMP'!C14+'FTE COMP'!C30</f>
        <v>2.7070000000000003</v>
      </c>
      <c r="J48" s="4">
        <f>H48-E48</f>
        <v>-263</v>
      </c>
      <c r="K48" s="43">
        <f>J48/E48</f>
        <v>-2.3781320360608004E-3</v>
      </c>
      <c r="L48" s="92"/>
    </row>
    <row r="49" spans="1:12">
      <c r="C49" s="4"/>
      <c r="D49" s="17"/>
      <c r="E49" s="4"/>
      <c r="F49" s="17"/>
      <c r="G49" s="4"/>
      <c r="H49" s="4"/>
      <c r="I49" s="17"/>
      <c r="J49" s="4"/>
      <c r="K49" s="43"/>
      <c r="L49" s="92"/>
    </row>
    <row r="50" spans="1:12">
      <c r="A50" t="s">
        <v>18</v>
      </c>
      <c r="C50" s="4">
        <v>13550</v>
      </c>
      <c r="D50" s="17"/>
      <c r="E50" s="4">
        <v>37436</v>
      </c>
      <c r="F50" s="17"/>
      <c r="G50" s="4">
        <f>E50-C50</f>
        <v>23886</v>
      </c>
      <c r="H50" s="4">
        <f>'SOURCE-USE'!F139</f>
        <v>41767</v>
      </c>
      <c r="I50" s="17"/>
      <c r="J50" s="4">
        <f>H50-E50</f>
        <v>4331</v>
      </c>
      <c r="K50" s="43">
        <f>J50/E50</f>
        <v>0.1156907789293728</v>
      </c>
      <c r="L50" s="92"/>
    </row>
    <row r="51" spans="1:12">
      <c r="C51" s="4"/>
      <c r="D51" s="17"/>
      <c r="E51" s="4"/>
      <c r="F51" s="17"/>
      <c r="G51" s="4"/>
      <c r="H51" s="4"/>
      <c r="I51" s="17"/>
      <c r="J51" s="4"/>
      <c r="K51" s="43"/>
      <c r="L51" s="92"/>
    </row>
    <row r="52" spans="1:12">
      <c r="A52" t="s">
        <v>132</v>
      </c>
      <c r="C52" s="4">
        <v>150000</v>
      </c>
      <c r="D52" s="17"/>
      <c r="E52" s="4">
        <v>370000</v>
      </c>
      <c r="F52" s="17"/>
      <c r="G52" s="4">
        <f>E52-C52</f>
        <v>220000</v>
      </c>
      <c r="H52" s="4">
        <f>'SOURCE-USE'!F141+'SOURCE-USE'!F137</f>
        <v>420000</v>
      </c>
      <c r="I52" s="17"/>
      <c r="J52" s="4">
        <f>H52-E52</f>
        <v>50000</v>
      </c>
      <c r="K52" s="43">
        <f>J52/E52</f>
        <v>0.13513513513513514</v>
      </c>
      <c r="L52" s="92"/>
    </row>
    <row r="53" spans="1:12">
      <c r="C53" s="4"/>
      <c r="D53" s="17"/>
      <c r="E53" s="4"/>
      <c r="F53" s="17"/>
      <c r="G53" s="4"/>
      <c r="H53" s="4"/>
      <c r="I53" s="17"/>
      <c r="J53" s="4"/>
      <c r="K53" s="43"/>
      <c r="L53" s="92"/>
    </row>
    <row r="54" spans="1:12">
      <c r="A54" t="s">
        <v>316</v>
      </c>
      <c r="C54" s="4">
        <v>224619</v>
      </c>
      <c r="D54" s="17">
        <v>4.0650000000000004</v>
      </c>
      <c r="E54" s="4">
        <v>108305</v>
      </c>
      <c r="F54" s="17">
        <v>2.052</v>
      </c>
      <c r="G54" s="4">
        <f>E54-C54</f>
        <v>-116314</v>
      </c>
      <c r="H54" s="4">
        <f>'SOURCE-USE'!F143</f>
        <v>105353</v>
      </c>
      <c r="I54" s="17">
        <f>'FTE COMP'!C31</f>
        <v>1.978</v>
      </c>
      <c r="J54" s="4">
        <f>H54-E54</f>
        <v>-2952</v>
      </c>
      <c r="K54" s="43">
        <f>J54/E54</f>
        <v>-2.7256359355523754E-2</v>
      </c>
      <c r="L54" s="92">
        <v>12</v>
      </c>
    </row>
    <row r="55" spans="1:12">
      <c r="C55" s="4"/>
      <c r="D55" s="17"/>
      <c r="E55" s="4"/>
      <c r="F55" s="17"/>
      <c r="G55" s="4" t="s">
        <v>5</v>
      </c>
      <c r="H55" s="4"/>
      <c r="I55" s="17"/>
      <c r="J55" s="4" t="s">
        <v>5</v>
      </c>
      <c r="K55" s="43"/>
      <c r="L55" s="92"/>
    </row>
    <row r="56" spans="1:12">
      <c r="A56" t="s">
        <v>19</v>
      </c>
      <c r="C56" s="4"/>
      <c r="D56" s="17"/>
      <c r="E56" s="4"/>
      <c r="F56" s="17"/>
      <c r="G56" s="4" t="s">
        <v>5</v>
      </c>
      <c r="H56" s="4"/>
      <c r="I56" s="17"/>
      <c r="J56" s="4" t="s">
        <v>5</v>
      </c>
      <c r="K56" s="43"/>
      <c r="L56" s="92"/>
    </row>
    <row r="57" spans="1:12">
      <c r="A57" t="s">
        <v>63</v>
      </c>
      <c r="C57" s="4">
        <v>101536</v>
      </c>
      <c r="D57" s="17">
        <v>1</v>
      </c>
      <c r="E57" s="4">
        <v>125436</v>
      </c>
      <c r="F57" s="17">
        <v>1</v>
      </c>
      <c r="G57" s="4">
        <f t="shared" ref="G57:G64" si="9">E57-C57</f>
        <v>23900</v>
      </c>
      <c r="H57" s="4">
        <v>132436</v>
      </c>
      <c r="I57" s="17">
        <f>'FTE COMP'!C16</f>
        <v>1</v>
      </c>
      <c r="J57" s="4">
        <f t="shared" ref="J57:J64" si="10">H57-E57</f>
        <v>7000</v>
      </c>
      <c r="K57" s="43">
        <f t="shared" ref="K57:K64" si="11">J57/E57</f>
        <v>5.5805350935935458E-2</v>
      </c>
      <c r="L57" s="92"/>
    </row>
    <row r="58" spans="1:12">
      <c r="A58" t="s">
        <v>64</v>
      </c>
      <c r="C58" s="4">
        <v>605915</v>
      </c>
      <c r="D58" s="17">
        <v>17.43</v>
      </c>
      <c r="E58" s="4">
        <v>994008</v>
      </c>
      <c r="F58" s="17">
        <v>22.277999999999999</v>
      </c>
      <c r="G58" s="4">
        <f t="shared" si="9"/>
        <v>388093</v>
      </c>
      <c r="H58" s="4">
        <v>1160628</v>
      </c>
      <c r="I58" s="17">
        <f>'FTE COMP'!C32+'FTE COMP'!C33+'FTE COMP'!C34</f>
        <v>26.657</v>
      </c>
      <c r="J58" s="4">
        <f t="shared" si="10"/>
        <v>166620</v>
      </c>
      <c r="K58" s="43">
        <f t="shared" si="11"/>
        <v>0.16762440543738077</v>
      </c>
      <c r="L58" s="92">
        <v>13</v>
      </c>
    </row>
    <row r="59" spans="1:12">
      <c r="A59" t="s">
        <v>7</v>
      </c>
      <c r="C59" s="4">
        <v>241565</v>
      </c>
      <c r="D59" s="17"/>
      <c r="E59" s="4">
        <v>506433</v>
      </c>
      <c r="F59" s="17"/>
      <c r="G59" s="4">
        <f t="shared" si="9"/>
        <v>264868</v>
      </c>
      <c r="H59" s="4">
        <v>604429</v>
      </c>
      <c r="I59" s="17"/>
      <c r="J59" s="4">
        <f t="shared" si="10"/>
        <v>97996</v>
      </c>
      <c r="K59" s="43">
        <f t="shared" si="11"/>
        <v>0.1935023981454605</v>
      </c>
      <c r="L59" s="92">
        <v>13</v>
      </c>
    </row>
    <row r="60" spans="1:12">
      <c r="A60" t="s">
        <v>20</v>
      </c>
      <c r="C60" s="4">
        <f>168000+2000</f>
        <v>170000</v>
      </c>
      <c r="D60" s="17"/>
      <c r="E60" s="4">
        <v>212200</v>
      </c>
      <c r="F60" s="17"/>
      <c r="G60" s="4">
        <f t="shared" si="9"/>
        <v>42200</v>
      </c>
      <c r="H60" s="4">
        <f>227950+4000</f>
        <v>231950</v>
      </c>
      <c r="I60" s="17"/>
      <c r="J60" s="4">
        <f t="shared" si="10"/>
        <v>19750</v>
      </c>
      <c r="K60" s="43">
        <f t="shared" si="11"/>
        <v>9.3072573044297835E-2</v>
      </c>
      <c r="L60" s="92"/>
    </row>
    <row r="61" spans="1:12">
      <c r="A61" t="s">
        <v>14</v>
      </c>
      <c r="C61" s="4">
        <v>947690</v>
      </c>
      <c r="D61" s="17"/>
      <c r="E61" s="4">
        <v>1158950</v>
      </c>
      <c r="F61" s="17"/>
      <c r="G61" s="4">
        <f t="shared" si="9"/>
        <v>211260</v>
      </c>
      <c r="H61" s="4">
        <v>1125185</v>
      </c>
      <c r="I61" s="17"/>
      <c r="J61" s="4">
        <f t="shared" si="10"/>
        <v>-33765</v>
      </c>
      <c r="K61" s="43">
        <f t="shared" si="11"/>
        <v>-2.9134130031494024E-2</v>
      </c>
      <c r="L61" s="92">
        <v>14</v>
      </c>
    </row>
    <row r="62" spans="1:12">
      <c r="A62" t="s">
        <v>10</v>
      </c>
      <c r="C62" s="4">
        <v>19450</v>
      </c>
      <c r="D62" s="17"/>
      <c r="E62" s="4">
        <v>19100</v>
      </c>
      <c r="F62" s="17"/>
      <c r="G62" s="4">
        <f t="shared" si="9"/>
        <v>-350</v>
      </c>
      <c r="H62" s="4">
        <v>16600</v>
      </c>
      <c r="I62" s="17"/>
      <c r="J62" s="4">
        <f t="shared" si="10"/>
        <v>-2500</v>
      </c>
      <c r="K62" s="43">
        <f t="shared" si="11"/>
        <v>-0.13089005235602094</v>
      </c>
      <c r="L62" s="92"/>
    </row>
    <row r="63" spans="1:12">
      <c r="A63" t="s">
        <v>11</v>
      </c>
      <c r="C63" s="6">
        <v>10500</v>
      </c>
      <c r="D63" s="19"/>
      <c r="E63" s="6">
        <v>20000</v>
      </c>
      <c r="F63" s="19"/>
      <c r="G63" s="6">
        <f t="shared" si="9"/>
        <v>9500</v>
      </c>
      <c r="H63" s="6">
        <v>29000</v>
      </c>
      <c r="I63" s="19"/>
      <c r="J63" s="6">
        <f t="shared" si="10"/>
        <v>9000</v>
      </c>
      <c r="K63" s="44">
        <f t="shared" si="11"/>
        <v>0.45</v>
      </c>
      <c r="L63" s="92">
        <v>15</v>
      </c>
    </row>
    <row r="64" spans="1:12">
      <c r="A64" t="s">
        <v>21</v>
      </c>
      <c r="C64" s="4">
        <f>SUM(C57:C63)</f>
        <v>2096656</v>
      </c>
      <c r="D64" s="17">
        <f>SUM(D57:D63)</f>
        <v>18.43</v>
      </c>
      <c r="E64" s="4">
        <f>SUM(E57:E63)</f>
        <v>3036127</v>
      </c>
      <c r="F64" s="17">
        <f>SUM(F57:F63)</f>
        <v>23.277999999999999</v>
      </c>
      <c r="G64" s="4">
        <f t="shared" si="9"/>
        <v>939471</v>
      </c>
      <c r="H64" s="4">
        <f>SUM(H57:H63)</f>
        <v>3300228</v>
      </c>
      <c r="I64" s="17">
        <f>SUM(I57:I63)</f>
        <v>27.657</v>
      </c>
      <c r="J64" s="4">
        <f t="shared" si="10"/>
        <v>264101</v>
      </c>
      <c r="K64" s="45">
        <f t="shared" si="11"/>
        <v>8.6986150447593266E-2</v>
      </c>
      <c r="L64" s="92"/>
    </row>
    <row r="65" spans="1:12">
      <c r="C65" s="4"/>
      <c r="D65" s="17"/>
      <c r="E65" s="4"/>
      <c r="F65" s="17"/>
      <c r="G65" s="4" t="s">
        <v>5</v>
      </c>
      <c r="H65" s="4"/>
      <c r="I65" s="17"/>
      <c r="J65" s="4" t="s">
        <v>5</v>
      </c>
      <c r="K65" s="43"/>
      <c r="L65" s="92"/>
    </row>
    <row r="66" spans="1:12">
      <c r="A66" t="s">
        <v>22</v>
      </c>
      <c r="C66" s="4"/>
      <c r="D66" s="17"/>
      <c r="E66" s="4"/>
      <c r="F66" s="17"/>
      <c r="G66" s="4" t="s">
        <v>5</v>
      </c>
      <c r="H66" s="4"/>
      <c r="I66" s="17"/>
      <c r="J66" s="4" t="s">
        <v>5</v>
      </c>
      <c r="K66" s="43"/>
      <c r="L66" s="92"/>
    </row>
    <row r="67" spans="1:12">
      <c r="A67" t="s">
        <v>64</v>
      </c>
      <c r="C67" s="4">
        <v>164979</v>
      </c>
      <c r="D67" s="17">
        <v>5.93</v>
      </c>
      <c r="E67" s="4">
        <v>201713</v>
      </c>
      <c r="F67" s="17">
        <v>6.0179999999999998</v>
      </c>
      <c r="G67" s="4">
        <f t="shared" ref="G67:G73" si="12">E67-C67</f>
        <v>36734</v>
      </c>
      <c r="H67" s="4">
        <v>205001</v>
      </c>
      <c r="I67" s="17">
        <f>'FTE COMP'!C35</f>
        <v>6.2649999999999997</v>
      </c>
      <c r="J67" s="4">
        <f t="shared" ref="J67:J73" si="13">H67-E67</f>
        <v>3288</v>
      </c>
      <c r="K67" s="43">
        <f t="shared" ref="K67:K73" si="14">J67/E67</f>
        <v>1.6300387183771001E-2</v>
      </c>
      <c r="L67" s="92"/>
    </row>
    <row r="68" spans="1:12">
      <c r="A68" t="s">
        <v>7</v>
      </c>
      <c r="C68" s="4">
        <v>91392</v>
      </c>
      <c r="D68" s="17"/>
      <c r="E68" s="4">
        <v>138287</v>
      </c>
      <c r="F68" s="17"/>
      <c r="G68" s="4">
        <f t="shared" si="12"/>
        <v>46895</v>
      </c>
      <c r="H68" s="4">
        <v>144010</v>
      </c>
      <c r="I68" s="17"/>
      <c r="J68" s="4">
        <f t="shared" si="13"/>
        <v>5723</v>
      </c>
      <c r="K68" s="43">
        <f t="shared" si="14"/>
        <v>4.138494580112375E-2</v>
      </c>
      <c r="L68" s="92"/>
    </row>
    <row r="69" spans="1:12">
      <c r="A69" t="s">
        <v>20</v>
      </c>
      <c r="C69" s="4">
        <v>281800</v>
      </c>
      <c r="D69" s="17"/>
      <c r="E69" s="4">
        <v>0</v>
      </c>
      <c r="F69" s="17"/>
      <c r="G69" s="4">
        <f t="shared" si="12"/>
        <v>-281800</v>
      </c>
      <c r="H69" s="4">
        <v>0</v>
      </c>
      <c r="I69" s="17"/>
      <c r="J69" s="4">
        <f t="shared" si="13"/>
        <v>0</v>
      </c>
      <c r="K69" s="43">
        <v>0</v>
      </c>
      <c r="L69" s="92"/>
    </row>
    <row r="70" spans="1:12">
      <c r="A70" t="s">
        <v>14</v>
      </c>
      <c r="C70" s="4">
        <v>31100</v>
      </c>
      <c r="D70" s="17"/>
      <c r="E70" s="4">
        <v>384080</v>
      </c>
      <c r="F70" s="17"/>
      <c r="G70" s="4">
        <f t="shared" si="12"/>
        <v>352980</v>
      </c>
      <c r="H70" s="4">
        <f>375656+45644</f>
        <v>421300</v>
      </c>
      <c r="I70" s="17"/>
      <c r="J70" s="4">
        <f t="shared" si="13"/>
        <v>37220</v>
      </c>
      <c r="K70" s="43">
        <f t="shared" si="14"/>
        <v>9.690689439700062E-2</v>
      </c>
      <c r="L70" s="92"/>
    </row>
    <row r="71" spans="1:12">
      <c r="A71" t="s">
        <v>10</v>
      </c>
      <c r="C71" s="4">
        <v>1500</v>
      </c>
      <c r="D71" s="17"/>
      <c r="E71" s="4">
        <v>0</v>
      </c>
      <c r="F71" s="17"/>
      <c r="G71" s="4">
        <f t="shared" si="12"/>
        <v>-1500</v>
      </c>
      <c r="H71" s="4">
        <v>0</v>
      </c>
      <c r="I71" s="17"/>
      <c r="J71" s="4">
        <f t="shared" si="13"/>
        <v>0</v>
      </c>
      <c r="K71" s="43">
        <v>0</v>
      </c>
      <c r="L71" s="92"/>
    </row>
    <row r="72" spans="1:12">
      <c r="A72" t="s">
        <v>11</v>
      </c>
      <c r="C72" s="6">
        <v>7000</v>
      </c>
      <c r="D72" s="19"/>
      <c r="E72" s="6">
        <v>0</v>
      </c>
      <c r="F72" s="19"/>
      <c r="G72" s="6">
        <f t="shared" si="12"/>
        <v>-7000</v>
      </c>
      <c r="H72" s="6">
        <v>0</v>
      </c>
      <c r="I72" s="19"/>
      <c r="J72" s="6">
        <f t="shared" si="13"/>
        <v>0</v>
      </c>
      <c r="K72" s="44">
        <v>0</v>
      </c>
      <c r="L72" s="92"/>
    </row>
    <row r="73" spans="1:12">
      <c r="A73" t="s">
        <v>23</v>
      </c>
      <c r="C73" s="4">
        <f>SUM(C67:C72)</f>
        <v>577771</v>
      </c>
      <c r="D73" s="17">
        <f>SUM(D67:D72)</f>
        <v>5.93</v>
      </c>
      <c r="E73" s="4">
        <f>SUM(E67:E72)</f>
        <v>724080</v>
      </c>
      <c r="F73" s="17">
        <f>SUM(F67:F72)</f>
        <v>6.0179999999999998</v>
      </c>
      <c r="G73" s="4">
        <f t="shared" si="12"/>
        <v>146309</v>
      </c>
      <c r="H73" s="4">
        <f>SUM(H67:H72)</f>
        <v>770311</v>
      </c>
      <c r="I73" s="17">
        <f>SUM(I67:I72)</f>
        <v>6.2649999999999997</v>
      </c>
      <c r="J73" s="4">
        <f t="shared" si="13"/>
        <v>46231</v>
      </c>
      <c r="K73" s="45">
        <f t="shared" si="14"/>
        <v>6.3847917357198095E-2</v>
      </c>
      <c r="L73" s="92"/>
    </row>
    <row r="74" spans="1:12">
      <c r="C74" s="4"/>
      <c r="D74" s="17"/>
      <c r="E74" s="4"/>
      <c r="F74" s="17"/>
      <c r="G74" s="4"/>
      <c r="H74" s="4"/>
      <c r="I74" s="17"/>
      <c r="J74" s="4"/>
      <c r="K74" s="43"/>
      <c r="L74" s="92"/>
    </row>
    <row r="75" spans="1:12">
      <c r="A75" t="s">
        <v>24</v>
      </c>
      <c r="C75" s="4"/>
      <c r="D75" s="17"/>
      <c r="E75" s="4"/>
      <c r="F75" s="17"/>
      <c r="G75" s="4" t="s">
        <v>5</v>
      </c>
      <c r="H75" s="4"/>
      <c r="I75" s="17"/>
      <c r="J75" s="4" t="s">
        <v>5</v>
      </c>
      <c r="K75" s="43"/>
      <c r="L75" s="92"/>
    </row>
    <row r="76" spans="1:12">
      <c r="A76" t="s">
        <v>25</v>
      </c>
      <c r="C76" s="4">
        <v>-181000</v>
      </c>
      <c r="D76" s="17"/>
      <c r="E76" s="4">
        <v>-237000</v>
      </c>
      <c r="F76" s="17"/>
      <c r="G76" s="4">
        <f t="shared" ref="G76:G81" si="15">E76-C76</f>
        <v>-56000</v>
      </c>
      <c r="H76" s="4">
        <v>-197162</v>
      </c>
      <c r="I76" s="17"/>
      <c r="J76" s="4">
        <f t="shared" ref="J76:J82" si="16">H76-E76</f>
        <v>39838</v>
      </c>
      <c r="K76" s="43">
        <f t="shared" ref="K76:K82" si="17">J76/E76</f>
        <v>-0.1680928270042194</v>
      </c>
      <c r="L76" s="92">
        <v>1</v>
      </c>
    </row>
    <row r="77" spans="1:12">
      <c r="A77" t="s">
        <v>64</v>
      </c>
      <c r="C77" s="4">
        <v>1133469</v>
      </c>
      <c r="D77" s="17">
        <v>30.492000000000001</v>
      </c>
      <c r="E77" s="4">
        <v>1848935</v>
      </c>
      <c r="F77" s="17">
        <v>41.731999999999999</v>
      </c>
      <c r="G77" s="4">
        <f t="shared" si="15"/>
        <v>715466</v>
      </c>
      <c r="H77" s="4">
        <v>1844940</v>
      </c>
      <c r="I77" s="17">
        <f>'FTE COMP'!C36+'FTE COMP'!C37+'FTE COMP'!C38</f>
        <v>41.653000000000006</v>
      </c>
      <c r="J77" s="4">
        <f t="shared" si="16"/>
        <v>-3995</v>
      </c>
      <c r="K77" s="43">
        <f t="shared" si="17"/>
        <v>-2.1607033238053258E-3</v>
      </c>
      <c r="L77" s="92"/>
    </row>
    <row r="78" spans="1:12">
      <c r="A78" t="s">
        <v>7</v>
      </c>
      <c r="C78" s="4">
        <v>481665</v>
      </c>
      <c r="D78" s="17"/>
      <c r="E78" s="4">
        <v>1035899</v>
      </c>
      <c r="F78" s="17"/>
      <c r="G78" s="4">
        <f t="shared" si="15"/>
        <v>554234</v>
      </c>
      <c r="H78" s="4">
        <v>1066306</v>
      </c>
      <c r="I78" s="17"/>
      <c r="J78" s="4">
        <f t="shared" si="16"/>
        <v>30407</v>
      </c>
      <c r="K78" s="43">
        <f t="shared" si="17"/>
        <v>2.9353247758710066E-2</v>
      </c>
      <c r="L78" s="92"/>
    </row>
    <row r="79" spans="1:12">
      <c r="A79" t="s">
        <v>20</v>
      </c>
      <c r="C79" s="4">
        <v>327555</v>
      </c>
      <c r="D79" s="17"/>
      <c r="E79" s="4">
        <v>606337</v>
      </c>
      <c r="F79" s="17"/>
      <c r="G79" s="4">
        <f t="shared" si="15"/>
        <v>278782</v>
      </c>
      <c r="H79" s="4">
        <v>639000</v>
      </c>
      <c r="I79" s="17"/>
      <c r="J79" s="4">
        <f t="shared" si="16"/>
        <v>32663</v>
      </c>
      <c r="K79" s="43">
        <f t="shared" si="17"/>
        <v>5.3869382867943072E-2</v>
      </c>
      <c r="L79" s="92"/>
    </row>
    <row r="80" spans="1:12">
      <c r="A80" t="s">
        <v>14</v>
      </c>
      <c r="C80" s="4">
        <v>153400</v>
      </c>
      <c r="D80" s="17"/>
      <c r="E80" s="4">
        <v>205100</v>
      </c>
      <c r="F80" s="17"/>
      <c r="G80" s="4">
        <f t="shared" si="15"/>
        <v>51700</v>
      </c>
      <c r="H80" s="4">
        <v>304250</v>
      </c>
      <c r="I80" s="17"/>
      <c r="J80" s="4">
        <f t="shared" si="16"/>
        <v>99150</v>
      </c>
      <c r="K80" s="43">
        <f t="shared" si="17"/>
        <v>0.48342272062408581</v>
      </c>
      <c r="L80" s="92">
        <v>16</v>
      </c>
    </row>
    <row r="81" spans="1:12">
      <c r="A81" t="s">
        <v>10</v>
      </c>
      <c r="C81" s="4">
        <v>1500</v>
      </c>
      <c r="D81" s="17"/>
      <c r="E81" s="6">
        <v>1500</v>
      </c>
      <c r="F81" s="19"/>
      <c r="G81" s="6">
        <f t="shared" si="15"/>
        <v>0</v>
      </c>
      <c r="H81" s="6">
        <v>1500</v>
      </c>
      <c r="I81" s="19"/>
      <c r="J81" s="6">
        <f t="shared" si="16"/>
        <v>0</v>
      </c>
      <c r="K81" s="44">
        <f t="shared" si="17"/>
        <v>0</v>
      </c>
      <c r="L81" s="92"/>
    </row>
    <row r="82" spans="1:12">
      <c r="A82" t="s">
        <v>26</v>
      </c>
      <c r="C82" s="4">
        <f t="shared" ref="C82:I82" si="18">SUM(C76:C81)</f>
        <v>1916589</v>
      </c>
      <c r="D82" s="17">
        <f t="shared" si="18"/>
        <v>30.492000000000001</v>
      </c>
      <c r="E82" s="4">
        <f t="shared" ref="E82" si="19">SUM(E76:E81)</f>
        <v>3460771</v>
      </c>
      <c r="F82" s="17">
        <f>SUM(F77:F81)</f>
        <v>41.731999999999999</v>
      </c>
      <c r="G82" s="4">
        <f t="shared" si="18"/>
        <v>1544182</v>
      </c>
      <c r="H82" s="4">
        <f t="shared" si="18"/>
        <v>3658834</v>
      </c>
      <c r="I82" s="17">
        <f t="shared" si="18"/>
        <v>41.653000000000006</v>
      </c>
      <c r="J82" s="4">
        <f t="shared" si="16"/>
        <v>198063</v>
      </c>
      <c r="K82" s="43">
        <f t="shared" si="17"/>
        <v>5.7230888723928862E-2</v>
      </c>
      <c r="L82" s="92"/>
    </row>
    <row r="83" spans="1:12">
      <c r="D83" s="17"/>
      <c r="F83" s="17"/>
      <c r="G83" s="4" t="s">
        <v>5</v>
      </c>
      <c r="I83" s="17"/>
      <c r="J83" s="4" t="s">
        <v>5</v>
      </c>
      <c r="K83" s="43"/>
      <c r="L83" s="92"/>
    </row>
    <row r="84" spans="1:12">
      <c r="A84" t="s">
        <v>342</v>
      </c>
      <c r="C84" s="4">
        <v>119929</v>
      </c>
      <c r="D84" s="17"/>
      <c r="E84" s="4">
        <v>217385</v>
      </c>
      <c r="F84" s="17"/>
      <c r="G84" s="4">
        <f>E84-C84</f>
        <v>97456</v>
      </c>
      <c r="H84" s="4">
        <f>'SOURCE-USE'!F153</f>
        <v>177651</v>
      </c>
      <c r="I84" s="17"/>
      <c r="J84" s="4">
        <f>H84-E84</f>
        <v>-39734</v>
      </c>
      <c r="K84" s="43">
        <f>J84/E84</f>
        <v>-0.1827817006693194</v>
      </c>
      <c r="L84" s="92"/>
    </row>
    <row r="85" spans="1:12">
      <c r="D85" s="17"/>
      <c r="F85" s="17"/>
      <c r="G85" s="4" t="s">
        <v>5</v>
      </c>
      <c r="I85" s="17"/>
      <c r="J85" s="4" t="s">
        <v>5</v>
      </c>
      <c r="K85" s="43"/>
      <c r="L85" s="92"/>
    </row>
    <row r="86" spans="1:12">
      <c r="A86" t="s">
        <v>27</v>
      </c>
      <c r="C86" s="4" t="e">
        <f>C84+C82+C73+C64+C54+C52+C50+C48+#REF!+C46+C42+#REF!+C40+C38+C36+C34+#REF!+C24+C14</f>
        <v>#REF!</v>
      </c>
      <c r="D86" s="22" t="e">
        <f>D84+D82+D73+D64+D54+D52+D50+D48+#REF!+D46+D42+#REF!+D40+D38+D36+D34+#REF!+D24+D14</f>
        <v>#REF!</v>
      </c>
      <c r="E86" s="4">
        <f>E84+E82+E73+E64+E54+E52+E50+E48+E46+E44+E42+E40+E38+E36+E34+E24+E14</f>
        <v>23444487</v>
      </c>
      <c r="F86" s="22">
        <f>F82+F73+F64+F54+F48+F42+F38+F34+F24+F14</f>
        <v>250.244</v>
      </c>
      <c r="G86" s="4" t="e">
        <f>G84+G82+G73+G64+G54+G52+G50+G48+#REF!+G46+G42+#REF!+G40+G38+G36+G34+#REF!+G24+G14</f>
        <v>#REF!</v>
      </c>
      <c r="H86" s="4">
        <f>H84+H82+H73+H64+H54+H52+H50+H48+H46+H42+H40+H38+H36+H34+H24+H14+H44</f>
        <v>25274523</v>
      </c>
      <c r="I86" s="22">
        <f>I84+I82+I73+I64+I54+I52+I50+I48+I46+I42+I40+I38+I36+I34+I24+I14</f>
        <v>266.99</v>
      </c>
      <c r="J86" s="4">
        <f>J84+J82+J73+J64+J54+J52+J50+J48+J46+J42+J40+J38+J36+J34+J24+J14+J44</f>
        <v>1830036</v>
      </c>
      <c r="K86" s="20">
        <f>J86/E86</f>
        <v>7.8058265894237741E-2</v>
      </c>
      <c r="L86" s="92"/>
    </row>
    <row r="87" spans="1:12">
      <c r="D87" s="17"/>
      <c r="F87" s="17"/>
      <c r="I87" s="17"/>
    </row>
    <row r="88" spans="1:12">
      <c r="A88" t="s">
        <v>351</v>
      </c>
      <c r="D88" s="20"/>
      <c r="E88" s="4"/>
      <c r="F88" s="20"/>
      <c r="H88" s="4"/>
      <c r="I88" s="20">
        <f>J86/E86</f>
        <v>7.8058265894237741E-2</v>
      </c>
    </row>
    <row r="89" spans="1:12">
      <c r="D89" s="17"/>
      <c r="F89" s="17"/>
      <c r="I89" s="17"/>
    </row>
    <row r="90" spans="1:12">
      <c r="A90" t="s">
        <v>34</v>
      </c>
      <c r="D90" s="17">
        <f>93.883+8.224+3+4.45+1.4+2+0.6+8.5+1</f>
        <v>123.057</v>
      </c>
      <c r="F90" s="81">
        <v>136.40400000000002</v>
      </c>
      <c r="G90" s="24"/>
      <c r="H90" s="24"/>
      <c r="I90" s="81">
        <f>'FTE COMP'!C18</f>
        <v>141.32600000000002</v>
      </c>
      <c r="J90" s="24"/>
    </row>
    <row r="91" spans="1:12">
      <c r="A91" t="s">
        <v>33</v>
      </c>
      <c r="D91" s="17">
        <f>20.631+5.272+3.748+2.37+3.037+0.457+0.73+4.065+17.43+5.93+30.492</f>
        <v>94.161999999999992</v>
      </c>
      <c r="F91" s="81">
        <v>114.03999999999999</v>
      </c>
      <c r="G91" s="24"/>
      <c r="H91" s="24"/>
      <c r="I91" s="81">
        <f>'FTE COMP'!C40</f>
        <v>125.864</v>
      </c>
    </row>
    <row r="92" spans="1:12">
      <c r="D92" s="17"/>
    </row>
    <row r="93" spans="1:12">
      <c r="D93" s="17"/>
      <c r="F93" s="17"/>
    </row>
    <row r="94" spans="1:12">
      <c r="A94" s="25" t="s">
        <v>148</v>
      </c>
      <c r="D94" s="17"/>
      <c r="F94" s="17"/>
    </row>
    <row r="95" spans="1:12">
      <c r="D95" s="17"/>
      <c r="F95" s="17"/>
    </row>
    <row r="96" spans="1:12">
      <c r="A96" s="55">
        <v>1</v>
      </c>
      <c r="B96" t="s">
        <v>403</v>
      </c>
      <c r="D96" s="17"/>
      <c r="F96" s="17"/>
    </row>
    <row r="97" spans="1:6">
      <c r="A97" s="55">
        <v>2</v>
      </c>
      <c r="B97" t="s">
        <v>405</v>
      </c>
      <c r="D97" s="17"/>
      <c r="F97" s="17"/>
    </row>
    <row r="98" spans="1:6" s="95" customFormat="1">
      <c r="A98" s="101">
        <v>3</v>
      </c>
      <c r="B98" s="95" t="s">
        <v>418</v>
      </c>
      <c r="D98" s="98"/>
      <c r="F98" s="98"/>
    </row>
    <row r="99" spans="1:6">
      <c r="A99" s="55">
        <v>4</v>
      </c>
      <c r="B99" t="s">
        <v>419</v>
      </c>
      <c r="D99" s="17"/>
      <c r="F99" s="17"/>
    </row>
    <row r="100" spans="1:6">
      <c r="A100" s="55">
        <v>5</v>
      </c>
      <c r="B100" t="s">
        <v>420</v>
      </c>
      <c r="D100" s="17"/>
      <c r="F100" s="17"/>
    </row>
    <row r="101" spans="1:6">
      <c r="A101" s="55">
        <v>6</v>
      </c>
      <c r="B101" t="s">
        <v>421</v>
      </c>
      <c r="D101" s="17"/>
      <c r="F101" s="17"/>
    </row>
    <row r="102" spans="1:6">
      <c r="A102" s="55">
        <v>7</v>
      </c>
      <c r="B102" t="s">
        <v>408</v>
      </c>
      <c r="D102" s="17"/>
      <c r="F102" s="17"/>
    </row>
    <row r="103" spans="1:6" s="95" customFormat="1">
      <c r="A103" s="101">
        <v>8</v>
      </c>
      <c r="B103" s="95" t="s">
        <v>409</v>
      </c>
      <c r="D103" s="98"/>
      <c r="F103" s="98"/>
    </row>
    <row r="104" spans="1:6" s="95" customFormat="1">
      <c r="A104" s="101">
        <v>9</v>
      </c>
      <c r="B104" s="95" t="s">
        <v>410</v>
      </c>
      <c r="D104" s="98"/>
      <c r="F104" s="98"/>
    </row>
    <row r="105" spans="1:6">
      <c r="A105" s="55">
        <v>10</v>
      </c>
      <c r="B105" t="s">
        <v>411</v>
      </c>
      <c r="D105" s="17"/>
      <c r="F105" s="17"/>
    </row>
    <row r="106" spans="1:6">
      <c r="A106" s="55">
        <v>11</v>
      </c>
      <c r="B106" t="s">
        <v>360</v>
      </c>
      <c r="D106" s="17"/>
      <c r="F106" s="17"/>
    </row>
    <row r="107" spans="1:6">
      <c r="A107" s="55">
        <v>12</v>
      </c>
      <c r="B107" t="s">
        <v>412</v>
      </c>
      <c r="D107" s="17"/>
      <c r="F107" s="17"/>
    </row>
    <row r="108" spans="1:6">
      <c r="A108" s="55">
        <v>13</v>
      </c>
      <c r="B108" t="s">
        <v>413</v>
      </c>
      <c r="D108" s="17"/>
      <c r="F108" s="17"/>
    </row>
    <row r="109" spans="1:6">
      <c r="A109" s="55">
        <v>14</v>
      </c>
      <c r="B109" t="s">
        <v>414</v>
      </c>
      <c r="D109" s="17"/>
      <c r="F109" s="17"/>
    </row>
    <row r="110" spans="1:6">
      <c r="A110" s="55">
        <v>15</v>
      </c>
      <c r="B110" t="s">
        <v>415</v>
      </c>
      <c r="D110" s="17"/>
      <c r="F110" s="17"/>
    </row>
    <row r="111" spans="1:6">
      <c r="A111" s="55">
        <v>16</v>
      </c>
      <c r="B111" t="s">
        <v>416</v>
      </c>
      <c r="D111" s="17"/>
      <c r="F111" s="17"/>
    </row>
    <row r="112" spans="1:6">
      <c r="A112" s="8"/>
      <c r="B112" t="s">
        <v>417</v>
      </c>
      <c r="D112" s="17"/>
      <c r="F112" s="17"/>
    </row>
    <row r="113" spans="1:6">
      <c r="A113" s="8"/>
      <c r="D113" s="17"/>
      <c r="F113" s="17"/>
    </row>
    <row r="114" spans="1:6">
      <c r="A114" s="8"/>
      <c r="D114" s="17"/>
      <c r="F114" s="17"/>
    </row>
    <row r="115" spans="1:6">
      <c r="A115" s="8"/>
      <c r="D115" s="17"/>
      <c r="F115" s="17"/>
    </row>
    <row r="116" spans="1:6">
      <c r="A116" s="8"/>
      <c r="D116" s="17"/>
      <c r="F116" s="17"/>
    </row>
    <row r="117" spans="1:6">
      <c r="D117" s="17"/>
      <c r="F117" s="17"/>
    </row>
    <row r="118" spans="1:6">
      <c r="D118" s="17"/>
      <c r="F118" s="17"/>
    </row>
    <row r="119" spans="1:6">
      <c r="D119" s="17"/>
      <c r="F119" s="17"/>
    </row>
    <row r="120" spans="1:6">
      <c r="D120" s="17"/>
      <c r="F120" s="17"/>
    </row>
    <row r="121" spans="1:6">
      <c r="D121" s="17"/>
      <c r="F121" s="17"/>
    </row>
    <row r="122" spans="1:6">
      <c r="D122" s="17"/>
      <c r="F122" s="17"/>
    </row>
    <row r="123" spans="1:6">
      <c r="D123" s="17"/>
      <c r="F123" s="17"/>
    </row>
    <row r="124" spans="1:6">
      <c r="D124" s="17"/>
      <c r="F124" s="17"/>
    </row>
    <row r="125" spans="1:6">
      <c r="D125" s="17"/>
      <c r="F125" s="17"/>
    </row>
    <row r="126" spans="1:6">
      <c r="D126" s="17"/>
      <c r="F126" s="17"/>
    </row>
    <row r="127" spans="1:6">
      <c r="D127" s="17"/>
      <c r="F127" s="17"/>
    </row>
    <row r="128" spans="1:6">
      <c r="D128" s="17"/>
      <c r="F128" s="17"/>
    </row>
    <row r="129" spans="4:6">
      <c r="D129" s="17"/>
      <c r="F129" s="17"/>
    </row>
    <row r="130" spans="4:6">
      <c r="D130" s="17"/>
      <c r="F130" s="17"/>
    </row>
    <row r="131" spans="4:6">
      <c r="D131" s="17"/>
      <c r="F131" s="17"/>
    </row>
    <row r="132" spans="4:6">
      <c r="D132" s="17"/>
      <c r="F132" s="17"/>
    </row>
    <row r="133" spans="4:6">
      <c r="D133" s="17"/>
      <c r="F133" s="17"/>
    </row>
    <row r="134" spans="4:6">
      <c r="D134" s="17"/>
      <c r="F134" s="17"/>
    </row>
    <row r="135" spans="4:6">
      <c r="D135" s="17"/>
      <c r="F135" s="17"/>
    </row>
    <row r="136" spans="4:6">
      <c r="D136" s="17"/>
      <c r="F136" s="17"/>
    </row>
    <row r="137" spans="4:6">
      <c r="D137" s="17"/>
      <c r="F137" s="17"/>
    </row>
    <row r="138" spans="4:6">
      <c r="D138" s="17"/>
      <c r="F138" s="17"/>
    </row>
    <row r="139" spans="4:6">
      <c r="D139" s="17"/>
      <c r="F139" s="17"/>
    </row>
    <row r="140" spans="4:6">
      <c r="D140" s="17"/>
      <c r="F140" s="17"/>
    </row>
    <row r="141" spans="4:6">
      <c r="D141" s="17"/>
      <c r="F141" s="17"/>
    </row>
    <row r="142" spans="4:6">
      <c r="D142" s="17"/>
      <c r="F142" s="17"/>
    </row>
    <row r="143" spans="4:6">
      <c r="D143" s="17"/>
      <c r="F143" s="17"/>
    </row>
    <row r="144" spans="4:6">
      <c r="D144" s="17"/>
      <c r="F144" s="17"/>
    </row>
    <row r="145" spans="4:6">
      <c r="D145" s="17"/>
      <c r="F145" s="17"/>
    </row>
    <row r="146" spans="4:6">
      <c r="D146" s="17"/>
      <c r="F146" s="17"/>
    </row>
    <row r="147" spans="4:6">
      <c r="D147" s="17"/>
      <c r="F147" s="17"/>
    </row>
    <row r="148" spans="4:6">
      <c r="D148" s="17"/>
      <c r="F148" s="17"/>
    </row>
    <row r="149" spans="4:6">
      <c r="D149" s="17"/>
      <c r="F149" s="17"/>
    </row>
    <row r="150" spans="4:6">
      <c r="D150" s="17"/>
      <c r="F150" s="17"/>
    </row>
    <row r="151" spans="4:6">
      <c r="D151" s="17"/>
      <c r="F151" s="17"/>
    </row>
    <row r="152" spans="4:6">
      <c r="D152" s="17"/>
      <c r="F152" s="17"/>
    </row>
    <row r="153" spans="4:6">
      <c r="D153" s="17"/>
      <c r="F153" s="17"/>
    </row>
    <row r="154" spans="4:6">
      <c r="D154" s="17"/>
      <c r="F154" s="17"/>
    </row>
    <row r="155" spans="4:6">
      <c r="D155" s="17"/>
      <c r="F155" s="17"/>
    </row>
    <row r="156" spans="4:6">
      <c r="D156" s="17"/>
      <c r="F156" s="17"/>
    </row>
    <row r="157" spans="4:6">
      <c r="D157" s="17"/>
      <c r="F157" s="17"/>
    </row>
    <row r="158" spans="4:6">
      <c r="D158" s="17"/>
      <c r="F158" s="17"/>
    </row>
    <row r="159" spans="4:6">
      <c r="D159" s="17"/>
      <c r="F159" s="17"/>
    </row>
    <row r="160" spans="4:6">
      <c r="D160" s="17"/>
      <c r="F160" s="17"/>
    </row>
    <row r="161" spans="4:6">
      <c r="D161" s="17"/>
      <c r="F161" s="17"/>
    </row>
    <row r="162" spans="4:6">
      <c r="D162" s="17"/>
      <c r="F162" s="17"/>
    </row>
    <row r="163" spans="4:6">
      <c r="D163" s="17"/>
      <c r="F163" s="17"/>
    </row>
    <row r="164" spans="4:6">
      <c r="D164" s="17"/>
      <c r="F164" s="17"/>
    </row>
    <row r="165" spans="4:6">
      <c r="D165" s="17"/>
      <c r="F165" s="17"/>
    </row>
    <row r="166" spans="4:6">
      <c r="D166" s="17"/>
      <c r="F166" s="17"/>
    </row>
    <row r="167" spans="4:6">
      <c r="D167" s="17"/>
      <c r="F167" s="17"/>
    </row>
    <row r="168" spans="4:6">
      <c r="D168" s="17"/>
      <c r="F168" s="17"/>
    </row>
    <row r="169" spans="4:6">
      <c r="D169" s="17"/>
      <c r="F169" s="17"/>
    </row>
    <row r="170" spans="4:6">
      <c r="D170" s="17"/>
      <c r="F170" s="17"/>
    </row>
    <row r="171" spans="4:6">
      <c r="D171" s="17"/>
      <c r="F171" s="17"/>
    </row>
    <row r="172" spans="4:6">
      <c r="D172" s="17"/>
      <c r="F172" s="17"/>
    </row>
    <row r="173" spans="4:6">
      <c r="D173" s="17"/>
      <c r="F173" s="17"/>
    </row>
    <row r="174" spans="4:6">
      <c r="D174" s="17"/>
      <c r="F174" s="17"/>
    </row>
    <row r="175" spans="4:6">
      <c r="D175" s="17"/>
      <c r="F175" s="17"/>
    </row>
    <row r="176" spans="4:6">
      <c r="D176" s="17"/>
      <c r="F176" s="17"/>
    </row>
    <row r="177" spans="4:6">
      <c r="D177" s="17"/>
      <c r="F177" s="17"/>
    </row>
    <row r="178" spans="4:6">
      <c r="D178" s="17"/>
      <c r="F178" s="17"/>
    </row>
    <row r="179" spans="4:6">
      <c r="D179" s="17"/>
      <c r="F179" s="17"/>
    </row>
    <row r="180" spans="4:6">
      <c r="D180" s="17"/>
      <c r="F180" s="17"/>
    </row>
    <row r="181" spans="4:6">
      <c r="D181" s="17"/>
      <c r="F181" s="17"/>
    </row>
    <row r="182" spans="4:6">
      <c r="D182" s="17"/>
      <c r="F182" s="17"/>
    </row>
    <row r="183" spans="4:6">
      <c r="D183" s="17"/>
      <c r="F183" s="17"/>
    </row>
    <row r="184" spans="4:6">
      <c r="D184" s="17"/>
      <c r="F184" s="17"/>
    </row>
    <row r="185" spans="4:6">
      <c r="D185" s="17"/>
      <c r="F185" s="17"/>
    </row>
    <row r="186" spans="4:6">
      <c r="D186" s="17"/>
      <c r="F186" s="17"/>
    </row>
    <row r="187" spans="4:6">
      <c r="D187" s="17"/>
      <c r="F187" s="17"/>
    </row>
    <row r="188" spans="4:6">
      <c r="D188" s="17"/>
      <c r="F188" s="17"/>
    </row>
    <row r="189" spans="4:6">
      <c r="D189" s="17"/>
      <c r="F189" s="17"/>
    </row>
    <row r="190" spans="4:6">
      <c r="D190" s="17"/>
      <c r="F190" s="17"/>
    </row>
    <row r="191" spans="4:6">
      <c r="D191" s="17"/>
      <c r="F191" s="17"/>
    </row>
    <row r="192" spans="4:6">
      <c r="D192" s="17"/>
      <c r="F192" s="17"/>
    </row>
    <row r="193" spans="4:6">
      <c r="D193" s="17"/>
      <c r="F193" s="17"/>
    </row>
    <row r="194" spans="4:6">
      <c r="D194" s="17"/>
      <c r="F194" s="17"/>
    </row>
    <row r="195" spans="4:6">
      <c r="D195" s="17"/>
      <c r="F195" s="17"/>
    </row>
    <row r="196" spans="4:6">
      <c r="D196" s="17"/>
      <c r="F196" s="17"/>
    </row>
    <row r="197" spans="4:6">
      <c r="D197" s="17"/>
      <c r="F197" s="17"/>
    </row>
    <row r="198" spans="4:6">
      <c r="D198" s="17"/>
      <c r="F198" s="17"/>
    </row>
    <row r="199" spans="4:6">
      <c r="D199" s="17"/>
      <c r="F199" s="17"/>
    </row>
    <row r="200" spans="4:6">
      <c r="D200" s="17"/>
      <c r="F200" s="17"/>
    </row>
    <row r="201" spans="4:6">
      <c r="D201" s="17"/>
      <c r="F201" s="17"/>
    </row>
    <row r="202" spans="4:6">
      <c r="D202" s="17"/>
      <c r="F202" s="17"/>
    </row>
    <row r="203" spans="4:6">
      <c r="D203" s="17"/>
      <c r="F203" s="17"/>
    </row>
    <row r="204" spans="4:6">
      <c r="D204" s="17"/>
      <c r="F204" s="17"/>
    </row>
    <row r="205" spans="4:6">
      <c r="D205" s="17"/>
      <c r="F205" s="17"/>
    </row>
    <row r="206" spans="4:6">
      <c r="D206" s="17"/>
      <c r="F206" s="17"/>
    </row>
    <row r="207" spans="4:6">
      <c r="D207" s="17"/>
      <c r="F207" s="17"/>
    </row>
    <row r="208" spans="4:6">
      <c r="D208" s="17"/>
      <c r="F208" s="17"/>
    </row>
    <row r="209" spans="4:6">
      <c r="D209" s="17"/>
      <c r="F209" s="17"/>
    </row>
    <row r="210" spans="4:6">
      <c r="D210" s="17"/>
      <c r="F210" s="17"/>
    </row>
    <row r="211" spans="4:6">
      <c r="D211" s="17"/>
      <c r="F211" s="17"/>
    </row>
    <row r="212" spans="4:6">
      <c r="D212" s="17"/>
      <c r="F212" s="17"/>
    </row>
    <row r="213" spans="4:6">
      <c r="D213" s="17"/>
      <c r="F213" s="17"/>
    </row>
    <row r="214" spans="4:6">
      <c r="D214" s="17"/>
      <c r="F214" s="17"/>
    </row>
    <row r="215" spans="4:6">
      <c r="D215" s="17"/>
      <c r="F215" s="17"/>
    </row>
    <row r="216" spans="4:6">
      <c r="D216" s="17"/>
      <c r="F216" s="17"/>
    </row>
    <row r="217" spans="4:6">
      <c r="D217" s="17"/>
      <c r="F217" s="17"/>
    </row>
    <row r="218" spans="4:6">
      <c r="D218" s="17"/>
      <c r="F218" s="17"/>
    </row>
    <row r="219" spans="4:6">
      <c r="D219" s="17"/>
      <c r="F219" s="17"/>
    </row>
    <row r="220" spans="4:6">
      <c r="D220" s="17"/>
      <c r="F220" s="17"/>
    </row>
    <row r="221" spans="4:6">
      <c r="D221" s="17"/>
      <c r="F221" s="17"/>
    </row>
    <row r="222" spans="4:6">
      <c r="D222" s="17"/>
      <c r="F222" s="17"/>
    </row>
    <row r="223" spans="4:6">
      <c r="D223" s="17"/>
      <c r="F223" s="17"/>
    </row>
    <row r="224" spans="4:6">
      <c r="D224" s="17"/>
      <c r="F224" s="17"/>
    </row>
    <row r="225" spans="4:6">
      <c r="D225" s="17"/>
      <c r="F225" s="17"/>
    </row>
    <row r="226" spans="4:6">
      <c r="F226" s="17"/>
    </row>
    <row r="227" spans="4:6">
      <c r="F227" s="17"/>
    </row>
    <row r="228" spans="4:6">
      <c r="F228" s="17"/>
    </row>
    <row r="229" spans="4:6">
      <c r="F229" s="17"/>
    </row>
    <row r="230" spans="4:6">
      <c r="F230" s="17"/>
    </row>
  </sheetData>
  <customSheetViews>
    <customSheetView guid="{1743B73C-DC30-4A18-8C09-04D85A5C0D60}" scale="60" showPageBreaks="1" fitToPage="1" view="pageBreakPreview" showRuler="0">
      <selection activeCell="C1" sqref="C1:G2"/>
      <pageMargins left="0.75" right="0.75" top="1" bottom="1" header="0.5" footer="0.5"/>
      <printOptions gridLines="1"/>
      <pageSetup scale="98" fitToHeight="2" orientation="portrait" horizontalDpi="4294967292" verticalDpi="4294967292" r:id="rId1"/>
      <headerFooter alignWithMargins="0">
        <oddHeader>&amp;CWOODLAND SCHOOL DISTRICT DETAILED COMPARISON OF 2004-05 EXP BUDGET TO 2005-06 EXP BUDGET</oddHeader>
      </headerFooter>
    </customSheetView>
  </customSheetViews>
  <phoneticPr fontId="0" type="noConversion"/>
  <pageMargins left="0.7" right="0.7" top="0.75" bottom="0.75" header="0.3" footer="0.3"/>
  <pageSetup scale="72" fitToHeight="2" orientation="portrait" verticalDpi="4294967292" r:id="rId2"/>
  <headerFooter differentOddEven="1">
    <oddHeader>&amp;C&amp;"Geneva,Bold"&amp;14 14-15 BUDGET - DETAIL EXPENDITURE SUMMARY</oddHeader>
    <oddFooter>&amp;CPAGE 7</oddFooter>
    <evenFooter>&amp;CPAGE 8</evenFooter>
    <firstFooter>&amp;CPAGE 7</firstFooter>
  </headerFooter>
  <rowBreaks count="1" manualBreakCount="1">
    <brk id="74"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5"/>
  <sheetViews>
    <sheetView zoomScaleNormal="100" workbookViewId="0">
      <selection activeCell="D29" sqref="D29"/>
    </sheetView>
  </sheetViews>
  <sheetFormatPr defaultColWidth="11.42578125" defaultRowHeight="12.75"/>
  <cols>
    <col min="1" max="1" width="3.85546875" customWidth="1"/>
    <col min="2" max="2" width="29" customWidth="1"/>
    <col min="3" max="3" width="19.7109375" customWidth="1"/>
    <col min="4" max="4" width="18.28515625" customWidth="1"/>
    <col min="5" max="5" width="15.42578125" bestFit="1" customWidth="1"/>
    <col min="6" max="6" width="11.42578125" customWidth="1"/>
    <col min="7" max="7" width="4.28515625" customWidth="1"/>
    <col min="8" max="8" width="12.28515625" bestFit="1" customWidth="1"/>
  </cols>
  <sheetData>
    <row r="1" spans="2:7">
      <c r="C1" s="16" t="s">
        <v>347</v>
      </c>
      <c r="D1" s="16" t="s">
        <v>371</v>
      </c>
      <c r="F1" s="106" t="s">
        <v>136</v>
      </c>
      <c r="G1" s="8"/>
    </row>
    <row r="2" spans="2:7">
      <c r="B2" s="109" t="s">
        <v>84</v>
      </c>
      <c r="C2" s="107" t="s">
        <v>0</v>
      </c>
      <c r="D2" s="107" t="s">
        <v>0</v>
      </c>
      <c r="E2" s="107" t="s">
        <v>1</v>
      </c>
      <c r="F2" s="108" t="s">
        <v>137</v>
      </c>
      <c r="G2" s="16"/>
    </row>
    <row r="3" spans="2:7">
      <c r="B3" t="s">
        <v>71</v>
      </c>
      <c r="C3" s="27">
        <v>3250082</v>
      </c>
      <c r="D3" s="27">
        <f>'REV COMP'!G5</f>
        <v>3587708</v>
      </c>
      <c r="E3" s="27">
        <f t="shared" ref="E3:E8" si="0">D3-C3</f>
        <v>337626</v>
      </c>
      <c r="F3" s="45">
        <f>E3/C3</f>
        <v>0.10388230204653298</v>
      </c>
      <c r="G3" s="8"/>
    </row>
    <row r="4" spans="2:7">
      <c r="B4" t="s">
        <v>72</v>
      </c>
      <c r="C4" s="27">
        <v>358708</v>
      </c>
      <c r="D4" s="27">
        <f>'REV COMP'!G6+'REV COMP'!G7+'REV COMP'!G8+'REV COMP'!G9+'REV COMP'!G10+'REV COMP'!G11+'REV COMP'!G12</f>
        <v>373349</v>
      </c>
      <c r="E4" s="27">
        <f t="shared" si="0"/>
        <v>14641</v>
      </c>
      <c r="F4" s="45">
        <f t="shared" ref="F4:F9" si="1">E4/C4</f>
        <v>4.0815928275923591E-2</v>
      </c>
      <c r="G4" s="88"/>
    </row>
    <row r="5" spans="2:7">
      <c r="B5" t="s">
        <v>73</v>
      </c>
      <c r="C5" s="27">
        <v>12238248</v>
      </c>
      <c r="D5" s="27">
        <f>'REV COMP'!G16+'REV COMP'!G18+'REV COMP'!G17</f>
        <v>13242399</v>
      </c>
      <c r="E5" s="27">
        <f t="shared" si="0"/>
        <v>1004151</v>
      </c>
      <c r="F5" s="45">
        <f t="shared" si="1"/>
        <v>8.2050224836103997E-2</v>
      </c>
      <c r="G5" s="88"/>
    </row>
    <row r="6" spans="2:7">
      <c r="B6" t="s">
        <v>74</v>
      </c>
      <c r="C6" s="27">
        <v>4523737</v>
      </c>
      <c r="D6" s="27">
        <f>'REV COMP'!G19+'REV COMP'!G20+'REV COMP'!G21+'REV COMP'!G22+'REV COMP'!G23+'REV COMP'!G24+'REV COMP'!G25</f>
        <v>5196687</v>
      </c>
      <c r="E6" s="27">
        <f t="shared" si="0"/>
        <v>672950</v>
      </c>
      <c r="F6" s="45">
        <f t="shared" si="1"/>
        <v>0.14875975327478144</v>
      </c>
      <c r="G6" s="88"/>
    </row>
    <row r="7" spans="2:7">
      <c r="B7" t="s">
        <v>75</v>
      </c>
      <c r="C7" s="27">
        <v>2023886</v>
      </c>
      <c r="D7" s="27">
        <f>'REV COMP'!G38</f>
        <v>2122808</v>
      </c>
      <c r="E7" s="27">
        <f t="shared" si="0"/>
        <v>98922</v>
      </c>
      <c r="F7" s="45">
        <f t="shared" si="1"/>
        <v>4.8877258896993209E-2</v>
      </c>
      <c r="G7" s="8"/>
    </row>
    <row r="8" spans="2:7">
      <c r="B8" t="s">
        <v>334</v>
      </c>
      <c r="C8" s="27">
        <v>1000280</v>
      </c>
      <c r="D8" s="27">
        <f>'REV COMP'!G44</f>
        <v>751572</v>
      </c>
      <c r="E8" s="27">
        <f t="shared" si="0"/>
        <v>-248708</v>
      </c>
      <c r="F8" s="45">
        <f t="shared" si="1"/>
        <v>-0.24863838125324908</v>
      </c>
      <c r="G8" s="8"/>
    </row>
    <row r="9" spans="2:7">
      <c r="B9" t="s">
        <v>83</v>
      </c>
      <c r="C9" s="29">
        <f>SUM(C3:C8)</f>
        <v>23394941</v>
      </c>
      <c r="D9" s="29">
        <f>SUM(D3:D8)</f>
        <v>25274523</v>
      </c>
      <c r="E9" s="29">
        <f>SUM(E3:E8)</f>
        <v>1879582</v>
      </c>
      <c r="F9" s="45">
        <f t="shared" si="1"/>
        <v>8.034138662713447E-2</v>
      </c>
      <c r="G9" s="8"/>
    </row>
    <row r="10" spans="2:7">
      <c r="G10" s="8"/>
    </row>
    <row r="11" spans="2:7">
      <c r="C11" s="16" t="s">
        <v>347</v>
      </c>
      <c r="D11" s="16" t="s">
        <v>371</v>
      </c>
      <c r="F11" s="106" t="s">
        <v>136</v>
      </c>
      <c r="G11" s="8"/>
    </row>
    <row r="12" spans="2:7">
      <c r="B12" s="109" t="s">
        <v>85</v>
      </c>
      <c r="C12" s="107" t="s">
        <v>70</v>
      </c>
      <c r="D12" s="107" t="s">
        <v>70</v>
      </c>
      <c r="E12" s="107" t="s">
        <v>1</v>
      </c>
      <c r="F12" s="108" t="s">
        <v>137</v>
      </c>
      <c r="G12" s="8"/>
    </row>
    <row r="13" spans="2:7">
      <c r="B13" t="s">
        <v>76</v>
      </c>
      <c r="C13" s="27">
        <v>8583905</v>
      </c>
      <c r="D13" s="27">
        <v>9176444</v>
      </c>
      <c r="E13" s="27">
        <f>D13-C13</f>
        <v>592539</v>
      </c>
      <c r="F13" s="45">
        <f t="shared" ref="F13:F21" si="2">E13/C13</f>
        <v>6.9029072432651578E-2</v>
      </c>
      <c r="G13" s="8"/>
    </row>
    <row r="14" spans="2:7">
      <c r="B14" t="s">
        <v>77</v>
      </c>
      <c r="C14" s="27">
        <v>4678262</v>
      </c>
      <c r="D14" s="27">
        <v>5074217</v>
      </c>
      <c r="E14" s="27">
        <f t="shared" ref="E14:E20" si="3">D14-C14</f>
        <v>395955</v>
      </c>
      <c r="F14" s="45">
        <f t="shared" si="2"/>
        <v>8.4637200738222867E-2</v>
      </c>
      <c r="G14" s="8"/>
    </row>
    <row r="15" spans="2:7">
      <c r="B15" t="s">
        <v>78</v>
      </c>
      <c r="C15" s="27">
        <v>5722387</v>
      </c>
      <c r="D15" s="27">
        <v>6117373</v>
      </c>
      <c r="E15" s="27">
        <f t="shared" si="3"/>
        <v>394986</v>
      </c>
      <c r="F15" s="45">
        <f t="shared" si="2"/>
        <v>6.9024691968578841E-2</v>
      </c>
      <c r="G15" s="8"/>
    </row>
    <row r="16" spans="2:7">
      <c r="B16" t="s">
        <v>79</v>
      </c>
      <c r="C16" s="27">
        <v>1515973</v>
      </c>
      <c r="D16" s="27">
        <v>1636003</v>
      </c>
      <c r="E16" s="27">
        <f t="shared" si="3"/>
        <v>120030</v>
      </c>
      <c r="F16" s="45">
        <f t="shared" si="2"/>
        <v>7.9176871883602146E-2</v>
      </c>
      <c r="G16" s="8"/>
    </row>
    <row r="17" spans="2:8">
      <c r="B17" t="s">
        <v>80</v>
      </c>
      <c r="C17" s="27">
        <v>2668612</v>
      </c>
      <c r="D17" s="27">
        <v>3020984</v>
      </c>
      <c r="E17" s="27">
        <f t="shared" si="3"/>
        <v>352372</v>
      </c>
      <c r="F17" s="45">
        <f t="shared" si="2"/>
        <v>0.1320431745041992</v>
      </c>
      <c r="G17" s="8"/>
    </row>
    <row r="18" spans="2:8">
      <c r="B18" t="s">
        <v>81</v>
      </c>
      <c r="C18" s="27">
        <v>37969</v>
      </c>
      <c r="D18" s="27">
        <v>30850</v>
      </c>
      <c r="E18" s="27">
        <f t="shared" si="3"/>
        <v>-7119</v>
      </c>
      <c r="F18" s="45">
        <f t="shared" si="2"/>
        <v>-0.18749506176091021</v>
      </c>
      <c r="G18" s="8"/>
    </row>
    <row r="19" spans="2:8">
      <c r="B19" t="s">
        <v>82</v>
      </c>
      <c r="C19" s="27">
        <v>20000</v>
      </c>
      <c r="D19" s="27">
        <v>41000</v>
      </c>
      <c r="E19" s="27">
        <f t="shared" si="3"/>
        <v>21000</v>
      </c>
      <c r="F19" s="45">
        <f t="shared" si="2"/>
        <v>1.05</v>
      </c>
      <c r="G19" s="8"/>
    </row>
    <row r="20" spans="2:8">
      <c r="B20" t="s">
        <v>335</v>
      </c>
      <c r="C20" s="27">
        <v>217385</v>
      </c>
      <c r="D20" s="27">
        <f>'SOURCE-USE'!F28</f>
        <v>177651</v>
      </c>
      <c r="E20" s="27">
        <f t="shared" si="3"/>
        <v>-39734</v>
      </c>
      <c r="F20" s="45">
        <f t="shared" si="2"/>
        <v>-0.1827817006693194</v>
      </c>
      <c r="G20" s="8"/>
    </row>
    <row r="21" spans="2:8">
      <c r="B21" t="s">
        <v>27</v>
      </c>
      <c r="C21" s="29">
        <f>SUM(C13:C20)</f>
        <v>23444493</v>
      </c>
      <c r="D21" s="29">
        <f>SUM(D13:D20)</f>
        <v>25274522</v>
      </c>
      <c r="E21" s="29">
        <f>SUM(E13:E20)</f>
        <v>1830029</v>
      </c>
      <c r="F21" s="45">
        <f t="shared" si="2"/>
        <v>7.8057947339701478E-2</v>
      </c>
      <c r="G21" s="8"/>
      <c r="H21" s="86"/>
    </row>
    <row r="22" spans="2:8" s="95" customFormat="1">
      <c r="C22" s="29"/>
      <c r="D22" s="29"/>
      <c r="E22" s="29"/>
      <c r="F22" s="45"/>
      <c r="G22" s="8"/>
      <c r="H22" s="86"/>
    </row>
    <row r="23" spans="2:8">
      <c r="C23" s="16" t="s">
        <v>347</v>
      </c>
      <c r="D23" s="16" t="s">
        <v>371</v>
      </c>
      <c r="E23" s="95"/>
      <c r="F23" s="106" t="s">
        <v>136</v>
      </c>
      <c r="G23" s="8"/>
    </row>
    <row r="24" spans="2:8">
      <c r="B24" s="109" t="s">
        <v>86</v>
      </c>
      <c r="C24" s="107" t="s">
        <v>70</v>
      </c>
      <c r="D24" s="107" t="s">
        <v>70</v>
      </c>
      <c r="E24" s="107" t="s">
        <v>1</v>
      </c>
      <c r="F24" s="108" t="s">
        <v>137</v>
      </c>
      <c r="G24" s="8"/>
    </row>
    <row r="25" spans="2:8">
      <c r="B25" t="s">
        <v>87</v>
      </c>
      <c r="C25" s="22">
        <v>78400</v>
      </c>
      <c r="D25" s="22">
        <v>85591</v>
      </c>
      <c r="E25" s="22">
        <f>D25-C25</f>
        <v>7191</v>
      </c>
      <c r="F25" s="45">
        <f t="shared" ref="F25:F59" si="4">E25/C25</f>
        <v>9.1721938775510201E-2</v>
      </c>
      <c r="G25" s="8"/>
    </row>
    <row r="26" spans="2:8">
      <c r="B26" t="s">
        <v>88</v>
      </c>
      <c r="C26" s="22">
        <v>258186</v>
      </c>
      <c r="D26" s="22">
        <v>274026</v>
      </c>
      <c r="E26" s="22">
        <f t="shared" ref="E26:E58" si="5">D26-C26</f>
        <v>15840</v>
      </c>
      <c r="F26" s="45">
        <f t="shared" si="4"/>
        <v>6.1351118960749226E-2</v>
      </c>
      <c r="G26" s="8"/>
    </row>
    <row r="27" spans="2:8">
      <c r="B27" t="s">
        <v>89</v>
      </c>
      <c r="C27" s="22">
        <v>304580</v>
      </c>
      <c r="D27" s="22">
        <v>316662</v>
      </c>
      <c r="E27" s="22">
        <f t="shared" si="5"/>
        <v>12082</v>
      </c>
      <c r="F27" s="45">
        <f t="shared" si="4"/>
        <v>3.9667739181824153E-2</v>
      </c>
      <c r="G27" s="8"/>
    </row>
    <row r="28" spans="2:8">
      <c r="B28" t="s">
        <v>90</v>
      </c>
      <c r="C28" s="22">
        <v>44109</v>
      </c>
      <c r="D28" s="22">
        <v>69608</v>
      </c>
      <c r="E28" s="22">
        <f t="shared" si="5"/>
        <v>25499</v>
      </c>
      <c r="F28" s="45">
        <f t="shared" si="4"/>
        <v>0.5780906390985967</v>
      </c>
      <c r="G28" s="8">
        <v>1</v>
      </c>
    </row>
    <row r="29" spans="2:8">
      <c r="B29" t="s">
        <v>325</v>
      </c>
      <c r="C29" s="22">
        <v>18000</v>
      </c>
      <c r="D29" s="22">
        <v>19800</v>
      </c>
      <c r="E29" s="22">
        <f t="shared" si="5"/>
        <v>1800</v>
      </c>
      <c r="F29" s="45">
        <f t="shared" si="4"/>
        <v>0.1</v>
      </c>
      <c r="G29" s="8"/>
    </row>
    <row r="30" spans="2:8">
      <c r="B30" t="s">
        <v>425</v>
      </c>
      <c r="C30" s="22">
        <v>538923</v>
      </c>
      <c r="D30" s="22">
        <v>608958</v>
      </c>
      <c r="E30" s="22">
        <f t="shared" si="5"/>
        <v>70035</v>
      </c>
      <c r="F30" s="45">
        <f t="shared" si="4"/>
        <v>0.1299536297393134</v>
      </c>
      <c r="G30" s="8">
        <v>2</v>
      </c>
    </row>
    <row r="31" spans="2:8">
      <c r="B31" t="s">
        <v>91</v>
      </c>
      <c r="C31" s="22">
        <v>220798</v>
      </c>
      <c r="D31" s="22">
        <v>228692</v>
      </c>
      <c r="E31" s="22">
        <f t="shared" si="5"/>
        <v>7894</v>
      </c>
      <c r="F31" s="45">
        <f t="shared" si="4"/>
        <v>3.5752135436009386E-2</v>
      </c>
      <c r="G31" s="8"/>
    </row>
    <row r="32" spans="2:8">
      <c r="B32" t="s">
        <v>92</v>
      </c>
      <c r="C32" s="22">
        <v>1153539</v>
      </c>
      <c r="D32" s="22">
        <v>1372360</v>
      </c>
      <c r="E32" s="22">
        <f t="shared" si="5"/>
        <v>218821</v>
      </c>
      <c r="F32" s="45">
        <f t="shared" si="4"/>
        <v>0.18969536357244965</v>
      </c>
      <c r="G32" s="8">
        <v>3</v>
      </c>
    </row>
    <row r="33" spans="2:7">
      <c r="B33" t="s">
        <v>93</v>
      </c>
      <c r="C33" s="22">
        <v>466192</v>
      </c>
      <c r="D33" s="22">
        <v>442474</v>
      </c>
      <c r="E33" s="22">
        <f t="shared" si="5"/>
        <v>-23718</v>
      </c>
      <c r="F33" s="45">
        <f t="shared" si="4"/>
        <v>-5.0876033908775785E-2</v>
      </c>
      <c r="G33" s="8"/>
    </row>
    <row r="34" spans="2:7">
      <c r="B34" t="s">
        <v>94</v>
      </c>
      <c r="C34" s="22">
        <v>20045</v>
      </c>
      <c r="D34" s="22">
        <v>18577</v>
      </c>
      <c r="E34" s="22">
        <f t="shared" si="5"/>
        <v>-1468</v>
      </c>
      <c r="F34" s="45">
        <f t="shared" si="4"/>
        <v>-7.3235220753305061E-2</v>
      </c>
      <c r="G34" s="8"/>
    </row>
    <row r="35" spans="2:7">
      <c r="B35" t="s">
        <v>95</v>
      </c>
      <c r="C35" s="22">
        <v>560405</v>
      </c>
      <c r="D35" s="22">
        <v>607655</v>
      </c>
      <c r="E35" s="22">
        <f t="shared" si="5"/>
        <v>47250</v>
      </c>
      <c r="F35" s="45">
        <f t="shared" si="4"/>
        <v>8.4314022894156904E-2</v>
      </c>
      <c r="G35" s="8"/>
    </row>
    <row r="36" spans="2:7">
      <c r="B36" t="s">
        <v>96</v>
      </c>
      <c r="C36" s="22">
        <v>12263938</v>
      </c>
      <c r="D36" s="22">
        <v>12804619</v>
      </c>
      <c r="E36" s="22">
        <f t="shared" si="5"/>
        <v>540681</v>
      </c>
      <c r="F36" s="45">
        <f t="shared" si="4"/>
        <v>4.4087062410132861E-2</v>
      </c>
      <c r="G36" s="8"/>
    </row>
    <row r="37" spans="2:7">
      <c r="B37" t="s">
        <v>97</v>
      </c>
      <c r="C37" s="22">
        <v>414302</v>
      </c>
      <c r="D37" s="22">
        <v>437944</v>
      </c>
      <c r="E37" s="22">
        <f t="shared" si="5"/>
        <v>23642</v>
      </c>
      <c r="F37" s="45">
        <f t="shared" si="4"/>
        <v>5.7064653320524641E-2</v>
      </c>
      <c r="G37" s="8"/>
    </row>
    <row r="38" spans="2:7">
      <c r="B38" t="s">
        <v>98</v>
      </c>
      <c r="C38" s="22">
        <v>31637</v>
      </c>
      <c r="D38" s="22">
        <v>156219</v>
      </c>
      <c r="E38" s="22">
        <f t="shared" si="5"/>
        <v>124582</v>
      </c>
      <c r="F38" s="45">
        <f t="shared" si="4"/>
        <v>3.9378575718304516</v>
      </c>
      <c r="G38" s="8">
        <v>4</v>
      </c>
    </row>
    <row r="39" spans="2:7">
      <c r="B39" t="s">
        <v>319</v>
      </c>
      <c r="C39" s="22">
        <v>240851</v>
      </c>
      <c r="D39" s="22">
        <v>404119</v>
      </c>
      <c r="E39" s="22">
        <f t="shared" si="5"/>
        <v>163268</v>
      </c>
      <c r="F39" s="45">
        <f t="shared" si="4"/>
        <v>0.67787968495044659</v>
      </c>
      <c r="G39" s="8">
        <v>5</v>
      </c>
    </row>
    <row r="40" spans="2:7">
      <c r="B40" t="s">
        <v>320</v>
      </c>
      <c r="C40" s="22">
        <v>95500</v>
      </c>
      <c r="D40" s="22">
        <v>121831</v>
      </c>
      <c r="E40" s="22">
        <f t="shared" si="5"/>
        <v>26331</v>
      </c>
      <c r="F40" s="45">
        <f t="shared" si="4"/>
        <v>0.27571727748691099</v>
      </c>
      <c r="G40" s="8"/>
    </row>
    <row r="41" spans="2:7" s="95" customFormat="1">
      <c r="B41" s="95" t="s">
        <v>422</v>
      </c>
      <c r="C41" s="22">
        <v>0</v>
      </c>
      <c r="D41" s="22">
        <v>164050</v>
      </c>
      <c r="E41" s="22">
        <f t="shared" si="5"/>
        <v>164050</v>
      </c>
      <c r="F41" s="45">
        <v>1</v>
      </c>
      <c r="G41" s="8">
        <v>6</v>
      </c>
    </row>
    <row r="42" spans="2:7">
      <c r="B42" t="s">
        <v>99</v>
      </c>
      <c r="C42" s="22">
        <v>7742</v>
      </c>
      <c r="D42" s="22">
        <v>8484</v>
      </c>
      <c r="E42" s="22">
        <f t="shared" si="5"/>
        <v>742</v>
      </c>
      <c r="F42" s="45">
        <f t="shared" si="4"/>
        <v>9.5840867992766726E-2</v>
      </c>
      <c r="G42" s="8"/>
    </row>
    <row r="43" spans="2:7">
      <c r="B43" t="s">
        <v>134</v>
      </c>
      <c r="C43" s="22">
        <v>0</v>
      </c>
      <c r="D43" s="22">
        <v>0</v>
      </c>
      <c r="E43" s="22">
        <f t="shared" si="5"/>
        <v>0</v>
      </c>
      <c r="F43" s="45">
        <v>0</v>
      </c>
      <c r="G43" s="8"/>
    </row>
    <row r="44" spans="2:7">
      <c r="B44" t="s">
        <v>100</v>
      </c>
      <c r="C44" s="22">
        <v>716338</v>
      </c>
      <c r="D44" s="22">
        <f>716183+45644</f>
        <v>761827</v>
      </c>
      <c r="E44" s="22">
        <f t="shared" si="5"/>
        <v>45489</v>
      </c>
      <c r="F44" s="45">
        <f t="shared" si="4"/>
        <v>6.3502145635161059E-2</v>
      </c>
      <c r="G44" s="8"/>
    </row>
    <row r="45" spans="2:7">
      <c r="B45" t="s">
        <v>101</v>
      </c>
      <c r="C45" s="22">
        <v>409342</v>
      </c>
      <c r="D45" s="22">
        <v>506031</v>
      </c>
      <c r="E45" s="22">
        <f t="shared" si="5"/>
        <v>96689</v>
      </c>
      <c r="F45" s="45">
        <f t="shared" si="4"/>
        <v>0.23620591094976817</v>
      </c>
      <c r="G45" s="8"/>
    </row>
    <row r="46" spans="2:7">
      <c r="B46" t="s">
        <v>102</v>
      </c>
      <c r="C46" s="22">
        <v>2737202</v>
      </c>
      <c r="D46" s="22">
        <v>2775631</v>
      </c>
      <c r="E46" s="22">
        <f t="shared" si="5"/>
        <v>38429</v>
      </c>
      <c r="F46" s="45">
        <f t="shared" si="4"/>
        <v>1.4039519187842183E-2</v>
      </c>
      <c r="G46" s="8"/>
    </row>
    <row r="47" spans="2:7">
      <c r="B47" t="s">
        <v>103</v>
      </c>
      <c r="C47" s="22">
        <v>447227</v>
      </c>
      <c r="D47" s="22">
        <v>465334</v>
      </c>
      <c r="E47" s="22">
        <f t="shared" si="5"/>
        <v>18107</v>
      </c>
      <c r="F47" s="45">
        <f t="shared" si="4"/>
        <v>4.0487269328551276E-2</v>
      </c>
      <c r="G47" s="8"/>
    </row>
    <row r="48" spans="2:7">
      <c r="B48" t="s">
        <v>104</v>
      </c>
      <c r="C48" s="22">
        <v>104000</v>
      </c>
      <c r="D48" s="22">
        <v>109000</v>
      </c>
      <c r="E48" s="22">
        <f t="shared" si="5"/>
        <v>5000</v>
      </c>
      <c r="F48" s="45">
        <f t="shared" si="4"/>
        <v>4.807692307692308E-2</v>
      </c>
      <c r="G48" s="8"/>
    </row>
    <row r="49" spans="1:7">
      <c r="B49" t="s">
        <v>105</v>
      </c>
      <c r="C49" s="22">
        <v>-237000</v>
      </c>
      <c r="D49" s="22">
        <v>-197162</v>
      </c>
      <c r="E49" s="22">
        <f t="shared" si="5"/>
        <v>39838</v>
      </c>
      <c r="F49" s="45">
        <f t="shared" si="4"/>
        <v>-0.1680928270042194</v>
      </c>
      <c r="G49" s="8"/>
    </row>
    <row r="50" spans="1:7" s="95" customFormat="1">
      <c r="B50" s="95" t="s">
        <v>423</v>
      </c>
      <c r="C50" s="22">
        <v>76569</v>
      </c>
      <c r="D50" s="22">
        <v>90674</v>
      </c>
      <c r="E50" s="22">
        <f t="shared" ref="E50" si="6">D50-C50</f>
        <v>14105</v>
      </c>
      <c r="F50" s="45">
        <f t="shared" ref="F50" si="7">E50/C50</f>
        <v>0.18421293212657863</v>
      </c>
      <c r="G50" s="8">
        <v>7</v>
      </c>
    </row>
    <row r="51" spans="1:7">
      <c r="B51" t="s">
        <v>106</v>
      </c>
      <c r="C51" s="22">
        <v>86749</v>
      </c>
      <c r="D51" s="22">
        <v>142939</v>
      </c>
      <c r="E51" s="22">
        <f t="shared" si="5"/>
        <v>56190</v>
      </c>
      <c r="F51" s="45">
        <f t="shared" si="4"/>
        <v>0.64773080957705564</v>
      </c>
      <c r="G51" s="8">
        <v>7</v>
      </c>
    </row>
    <row r="52" spans="1:7">
      <c r="B52" t="s">
        <v>107</v>
      </c>
      <c r="C52" s="22">
        <v>790446</v>
      </c>
      <c r="D52" s="22">
        <v>882891</v>
      </c>
      <c r="E52" s="22">
        <f t="shared" si="5"/>
        <v>92445</v>
      </c>
      <c r="F52" s="45">
        <f t="shared" si="4"/>
        <v>0.11695296073356054</v>
      </c>
      <c r="G52" s="8">
        <v>7</v>
      </c>
    </row>
    <row r="53" spans="1:7">
      <c r="B53" t="s">
        <v>108</v>
      </c>
      <c r="C53" s="22">
        <v>180723</v>
      </c>
      <c r="D53" s="22">
        <v>290816</v>
      </c>
      <c r="E53" s="22">
        <f t="shared" si="5"/>
        <v>110093</v>
      </c>
      <c r="F53" s="45">
        <f t="shared" si="4"/>
        <v>0.60918090115812595</v>
      </c>
      <c r="G53" s="8">
        <v>7</v>
      </c>
    </row>
    <row r="54" spans="1:7">
      <c r="B54" t="s">
        <v>109</v>
      </c>
      <c r="C54" s="22">
        <v>704000</v>
      </c>
      <c r="D54" s="22">
        <f>430000+18000+136500</f>
        <v>584500</v>
      </c>
      <c r="E54" s="22">
        <f t="shared" si="5"/>
        <v>-119500</v>
      </c>
      <c r="F54" s="45">
        <f t="shared" si="4"/>
        <v>-0.16974431818181818</v>
      </c>
      <c r="G54" s="8">
        <v>8</v>
      </c>
    </row>
    <row r="55" spans="1:7">
      <c r="B55" t="s">
        <v>149</v>
      </c>
      <c r="C55" s="22">
        <v>367865</v>
      </c>
      <c r="D55" s="22">
        <v>392721</v>
      </c>
      <c r="E55" s="22">
        <f t="shared" si="5"/>
        <v>24856</v>
      </c>
      <c r="F55" s="45">
        <f t="shared" si="4"/>
        <v>6.7568265532192515E-2</v>
      </c>
      <c r="G55" s="8"/>
    </row>
    <row r="56" spans="1:7">
      <c r="B56" t="s">
        <v>110</v>
      </c>
      <c r="C56" s="22">
        <v>82000</v>
      </c>
      <c r="D56" s="22">
        <v>103000</v>
      </c>
      <c r="E56" s="22">
        <f t="shared" si="5"/>
        <v>21000</v>
      </c>
      <c r="F56" s="45">
        <f t="shared" si="4"/>
        <v>0.25609756097560976</v>
      </c>
      <c r="G56" s="8">
        <v>9</v>
      </c>
    </row>
    <row r="57" spans="1:7">
      <c r="B57" t="s">
        <v>111</v>
      </c>
      <c r="C57" s="22">
        <v>44500</v>
      </c>
      <c r="D57" s="22">
        <v>47000</v>
      </c>
      <c r="E57" s="22">
        <f t="shared" si="5"/>
        <v>2500</v>
      </c>
      <c r="F57" s="45">
        <f t="shared" si="4"/>
        <v>5.6179775280898875E-2</v>
      </c>
      <c r="G57" s="8"/>
    </row>
    <row r="58" spans="1:7">
      <c r="B58" t="s">
        <v>361</v>
      </c>
      <c r="C58" s="22">
        <v>217385</v>
      </c>
      <c r="D58" s="22">
        <f>'SOURCE-USE'!F153</f>
        <v>177651</v>
      </c>
      <c r="E58" s="22">
        <f t="shared" si="5"/>
        <v>-39734</v>
      </c>
      <c r="F58" s="45">
        <f t="shared" si="4"/>
        <v>-0.1827817006693194</v>
      </c>
      <c r="G58" s="8">
        <v>10</v>
      </c>
    </row>
    <row r="59" spans="1:7">
      <c r="B59" t="s">
        <v>27</v>
      </c>
      <c r="C59" s="28">
        <f>SUM(C25:C58)</f>
        <v>23444493</v>
      </c>
      <c r="D59" s="28">
        <f>SUM(D25:D58)</f>
        <v>25274522</v>
      </c>
      <c r="E59" s="28">
        <f>SUM(E25:E58)</f>
        <v>1830029</v>
      </c>
      <c r="F59" s="45">
        <f t="shared" si="4"/>
        <v>7.8057947339701478E-2</v>
      </c>
      <c r="G59" s="8"/>
    </row>
    <row r="60" spans="1:7">
      <c r="D60" s="80"/>
    </row>
    <row r="61" spans="1:7" ht="25.9" customHeight="1">
      <c r="B61" s="114" t="s">
        <v>343</v>
      </c>
      <c r="C61" s="114"/>
      <c r="D61" s="114"/>
      <c r="E61" s="114"/>
      <c r="F61" s="114"/>
    </row>
    <row r="63" spans="1:7">
      <c r="A63">
        <v>1</v>
      </c>
      <c r="B63" t="s">
        <v>424</v>
      </c>
    </row>
    <row r="64" spans="1:7">
      <c r="A64">
        <v>2</v>
      </c>
      <c r="B64" t="s">
        <v>426</v>
      </c>
    </row>
    <row r="65" spans="1:2">
      <c r="A65">
        <v>3</v>
      </c>
      <c r="B65" t="s">
        <v>427</v>
      </c>
    </row>
    <row r="66" spans="1:2" s="95" customFormat="1">
      <c r="B66" s="95" t="s">
        <v>428</v>
      </c>
    </row>
    <row r="67" spans="1:2">
      <c r="A67">
        <v>4</v>
      </c>
      <c r="B67" t="s">
        <v>429</v>
      </c>
    </row>
    <row r="68" spans="1:2">
      <c r="A68">
        <v>5</v>
      </c>
      <c r="B68" t="s">
        <v>430</v>
      </c>
    </row>
    <row r="69" spans="1:2">
      <c r="A69">
        <v>6</v>
      </c>
      <c r="B69" t="s">
        <v>431</v>
      </c>
    </row>
    <row r="70" spans="1:2">
      <c r="A70">
        <v>7</v>
      </c>
      <c r="B70" t="s">
        <v>432</v>
      </c>
    </row>
    <row r="71" spans="1:2">
      <c r="B71" t="s">
        <v>433</v>
      </c>
    </row>
    <row r="72" spans="1:2">
      <c r="A72">
        <v>8</v>
      </c>
      <c r="B72" t="s">
        <v>434</v>
      </c>
    </row>
    <row r="73" spans="1:2">
      <c r="A73">
        <v>9</v>
      </c>
      <c r="B73" t="s">
        <v>435</v>
      </c>
    </row>
    <row r="74" spans="1:2">
      <c r="A74">
        <v>10</v>
      </c>
      <c r="B74" t="s">
        <v>436</v>
      </c>
    </row>
    <row r="75" spans="1:2">
      <c r="B75" t="s">
        <v>437</v>
      </c>
    </row>
  </sheetData>
  <customSheetViews>
    <customSheetView guid="{1743B73C-DC30-4A18-8C09-04D85A5C0D60}" scale="60" showPageBreaks="1" view="pageBreakPreview" showRuler="0">
      <selection activeCell="A21" sqref="A21"/>
      <pageMargins left="0.75" right="0.75" top="1" bottom="1" header="0.5" footer="0.5"/>
      <printOptions gridLines="1"/>
      <pageSetup scale="98" orientation="portrait" r:id="rId1"/>
      <headerFooter alignWithMargins="0">
        <oddHeader>&amp;CSUMMARY REVENUE/EXPENDITURE COMPARISON 2004-05 BUDGET TO 2005-06 BUDGET</oddHeader>
        <oddFooter>Page &amp;P</oddFooter>
      </headerFooter>
    </customSheetView>
  </customSheetViews>
  <mergeCells count="1">
    <mergeCell ref="B61:F61"/>
  </mergeCells>
  <phoneticPr fontId="0" type="noConversion"/>
  <pageMargins left="0.7" right="0.7" top="0.75" bottom="0.75" header="0.3" footer="0.3"/>
  <pageSetup scale="72" orientation="portrait" r:id="rId2"/>
  <headerFooter>
    <oddHeader>&amp;C&amp;"Geneva,Bold"&amp;14 14-15 BUDGET - REV BY  CATEGORY/EXP BY OBJECT AND ACTIVITY SUMMARY</oddHeader>
    <oddFooter>&amp;CPAGE 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2.75"/>
  <sheetData/>
  <customSheetViews>
    <customSheetView guid="{1743B73C-DC30-4A18-8C09-04D85A5C0D60}" showRuler="0">
      <pageMargins left="0.75" right="0.75" top="1" bottom="1" header="0.5" footer="0.5"/>
      <printOptions gridLines="1"/>
      <headerFooter alignWithMargins="0">
        <oddHeader>&amp;A</oddHeader>
        <oddFooter>Page &amp;P</oddFooter>
      </headerFooter>
    </customSheetView>
  </customSheetViews>
  <phoneticPr fontId="0" type="noConversion"/>
  <printOptions gridLines="1" gridLinesSet="0"/>
  <pageMargins left="0.75" right="0.75" top="1" bottom="1" header="0.5" footer="0.5"/>
  <pageSetup orientation="portrait" verticalDpi="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ALL FUNDS</vt:lpstr>
      <vt:lpstr>HIGHLIGHTS</vt:lpstr>
      <vt:lpstr>ENROLLMENT</vt:lpstr>
      <vt:lpstr>FTE COMP</vt:lpstr>
      <vt:lpstr>SOURCE-USE</vt:lpstr>
      <vt:lpstr>REV COMP</vt:lpstr>
      <vt:lpstr>EXP COMP</vt:lpstr>
      <vt:lpstr>EXP &amp; REV SUM</vt:lpstr>
      <vt:lpstr>Sheet14</vt:lpstr>
      <vt:lpstr>Sheet15</vt:lpstr>
      <vt:lpstr>Sheet16</vt:lpstr>
      <vt:lpstr>ENROLLMENT!Print_Area</vt:lpstr>
      <vt:lpstr>'EXP &amp; REV SUM'!Print_Area</vt:lpstr>
      <vt:lpstr>'EXP COMP'!Print_Area</vt:lpstr>
      <vt:lpstr>'FTE COMP'!Print_Area</vt:lpstr>
      <vt:lpstr>HIGHLIGHTS!Print_Area</vt:lpstr>
      <vt:lpstr>'REV COMP'!Print_Area</vt:lpstr>
      <vt:lpstr>'SOURCE-USE'!Print_Area</vt:lpstr>
      <vt:lpstr>'EXP COMP'!Print_Titles</vt:lpstr>
      <vt:lpstr>'REV COMP'!Print_Titles</vt:lpstr>
      <vt:lpstr>'SOURCE-USE'!Print_Titles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brownst</cp:lastModifiedBy>
  <cp:lastPrinted>2014-07-25T22:43:41Z</cp:lastPrinted>
  <dcterms:created xsi:type="dcterms:W3CDTF">1956-10-03T03:44:39Z</dcterms:created>
  <dcterms:modified xsi:type="dcterms:W3CDTF">2014-07-26T00:39:31Z</dcterms:modified>
</cp:coreProperties>
</file>